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97A8973-E159-4E49-AA39-0DC6254203C4}" xr6:coauthVersionLast="47" xr6:coauthVersionMax="47" xr10:uidLastSave="{00000000-0000-0000-0000-000000000000}"/>
  <bookViews>
    <workbookView xWindow="-28920" yWindow="-120" windowWidth="29040" windowHeight="15720" firstSheet="1" activeTab="3" xr2:uid="{00000000-000D-0000-FFFF-FFFF00000000}"/>
  </bookViews>
  <sheets>
    <sheet name="Domestic_2608 (27년 1월 증량 확정 &gt; 세" sheetId="1" r:id="rId1"/>
    <sheet name="Domestic_2608(Sales)" sheetId="2" r:id="rId2"/>
    <sheet name="Domestic_2608 (27년 1월 증량 확정)" sheetId="3" r:id="rId3"/>
    <sheet name="Domestic_2607" sheetId="4" r:id="rId4"/>
    <sheet name="Domestic_2606" sheetId="5" r:id="rId5"/>
    <sheet name="내수 입고" sheetId="6" r:id="rId6"/>
    <sheet name="내수 재고" sheetId="7" r:id="rId7"/>
    <sheet name="Jikgu_2608" sheetId="8" r:id="rId8"/>
    <sheet name="Jikgu_2608(sales)" sheetId="9" r:id="rId9"/>
    <sheet name="Jikgu_2607" sheetId="10" r:id="rId10"/>
    <sheet name="Jikgu_2606" sheetId="11" r:id="rId11"/>
    <sheet name="시트29" sheetId="12" state="hidden" r:id="rId12"/>
    <sheet name="Domestic의 사본 발주예상용" sheetId="13" state="hidden" r:id="rId13"/>
    <sheet name="직구 입고" sheetId="14" r:id="rId14"/>
    <sheet name="직구 재고" sheetId="15" r:id="rId15"/>
    <sheet name="Medical_2608" sheetId="16" r:id="rId16"/>
    <sheet name="Medical_2607" sheetId="17" r:id="rId17"/>
    <sheet name="Jikgu의 사본 발주 예상용" sheetId="18" state="hidden" r:id="rId18"/>
    <sheet name="직구재고" sheetId="19" state="hidden" r:id="rId19"/>
    <sheet name="메디컬 입고" sheetId="20" r:id="rId20"/>
    <sheet name="메디컬 재고" sheetId="21" r:id="rId21"/>
    <sheet name="메디컬 SKU" sheetId="22" r:id="rId22"/>
    <sheet name="금액" sheetId="23" r:id="rId23"/>
    <sheet name="단가" sheetId="24" r:id="rId24"/>
    <sheet name="Workbook(Eibe)" sheetId="25" state="hidden" r:id="rId25"/>
    <sheet name="유통기한 재고소진(주간)" sheetId="26" state="hidden" r:id="rId26"/>
    <sheet name="폐기비용 예상" sheetId="27" state="hidden" r:id="rId27"/>
    <sheet name="중국 물류 변경" sheetId="28" state="hidden" r:id="rId28"/>
    <sheet name="창고 이관 일정" sheetId="29" state="hidden" r:id="rId29"/>
    <sheet name="인보이스 수정" sheetId="30" state="hidden" r:id="rId30"/>
    <sheet name="장마 대비 포장 패키징 비용" sheetId="31" state="hidden" r:id="rId31"/>
    <sheet name="창고 이전 비용" sheetId="32" state="hidden" r:id="rId32"/>
    <sheet name="전체 재고" sheetId="33" state="hidden" r:id="rId33"/>
    <sheet name="10월" sheetId="34" state="hidden" r:id="rId34"/>
  </sheets>
  <definedNames>
    <definedName name="_xlnm._FilterDatabase" localSheetId="5" hidden="1">'내수 입고'!$A$1:$H$79</definedName>
    <definedName name="_xlnm._FilterDatabase" localSheetId="19" hidden="1">'메디컬 입고'!$A$1:$H$63</definedName>
    <definedName name="_xlnm._FilterDatabase" localSheetId="13" hidden="1">'직구 입고'!$A$1:$H$195</definedName>
    <definedName name="_xlnm._FilterDatabase" localSheetId="18" hidden="1">직구재고!$A$1:$Z$37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34" l="1"/>
  <c r="D59" i="34"/>
  <c r="D58" i="34"/>
  <c r="D57" i="34"/>
  <c r="AP53" i="34"/>
  <c r="AF53" i="34"/>
  <c r="V53" i="34"/>
  <c r="L53" i="34"/>
  <c r="AP52" i="34"/>
  <c r="AF52" i="34"/>
  <c r="V52" i="34"/>
  <c r="L52" i="34"/>
  <c r="AP51" i="34"/>
  <c r="AF51" i="34"/>
  <c r="V51" i="34"/>
  <c r="L51" i="34"/>
  <c r="AP50" i="34"/>
  <c r="AF50" i="34"/>
  <c r="V50" i="34"/>
  <c r="L50" i="34"/>
  <c r="A50" i="34"/>
  <c r="A51" i="34" s="1"/>
  <c r="A52" i="34" s="1"/>
  <c r="A53" i="34" s="1"/>
  <c r="AP49" i="34"/>
  <c r="AF49" i="34"/>
  <c r="V49" i="34"/>
  <c r="L49" i="34"/>
  <c r="A49" i="34"/>
  <c r="AP48" i="34"/>
  <c r="AF48" i="34"/>
  <c r="V48" i="34"/>
  <c r="L48" i="34"/>
  <c r="AO47" i="34"/>
  <c r="AN47" i="34"/>
  <c r="AM47" i="34"/>
  <c r="AL47" i="34"/>
  <c r="AL7" i="34" s="1"/>
  <c r="AK47" i="34"/>
  <c r="AJ47" i="34"/>
  <c r="AJ7" i="34" s="1"/>
  <c r="AI47" i="34"/>
  <c r="AE47" i="34"/>
  <c r="AD47" i="34"/>
  <c r="AC47" i="34"/>
  <c r="AB47" i="34"/>
  <c r="AA47" i="34"/>
  <c r="Z47" i="34"/>
  <c r="Y47" i="34"/>
  <c r="V47" i="34"/>
  <c r="V7" i="34" s="1"/>
  <c r="X7" i="34" s="1"/>
  <c r="U47" i="34"/>
  <c r="T47" i="34"/>
  <c r="S47" i="34"/>
  <c r="R47" i="34"/>
  <c r="Q47" i="34"/>
  <c r="P47" i="34"/>
  <c r="O47" i="34"/>
  <c r="K47" i="34"/>
  <c r="J47" i="34"/>
  <c r="I47" i="34"/>
  <c r="I7" i="34" s="1"/>
  <c r="H47" i="34"/>
  <c r="G47" i="34"/>
  <c r="F47" i="34"/>
  <c r="E47" i="34"/>
  <c r="AO46" i="34"/>
  <c r="AN46" i="34"/>
  <c r="AM46" i="34"/>
  <c r="AL46" i="34"/>
  <c r="AK46" i="34"/>
  <c r="AJ46" i="34"/>
  <c r="AJ6" i="34" s="1"/>
  <c r="AI46" i="34"/>
  <c r="AE46" i="34"/>
  <c r="AD46" i="34"/>
  <c r="AC46" i="34"/>
  <c r="AB46" i="34"/>
  <c r="AA46" i="34"/>
  <c r="Z46" i="34"/>
  <c r="Y46" i="34"/>
  <c r="U46" i="34"/>
  <c r="T46" i="34"/>
  <c r="S46" i="34"/>
  <c r="R46" i="34"/>
  <c r="Q46" i="34"/>
  <c r="P46" i="34"/>
  <c r="O46" i="34"/>
  <c r="K46" i="34"/>
  <c r="J46" i="34"/>
  <c r="I46" i="34"/>
  <c r="H46" i="34"/>
  <c r="G46" i="34"/>
  <c r="F46" i="34"/>
  <c r="E46" i="34"/>
  <c r="AO45" i="34"/>
  <c r="AN45" i="34"/>
  <c r="AM45" i="34"/>
  <c r="AL45" i="34"/>
  <c r="AK45" i="34"/>
  <c r="AJ45" i="34"/>
  <c r="AI45" i="34"/>
  <c r="AE45" i="34"/>
  <c r="AD45" i="34"/>
  <c r="AC45" i="34"/>
  <c r="AB45" i="34"/>
  <c r="AA45" i="34"/>
  <c r="Z45" i="34"/>
  <c r="Y45" i="34"/>
  <c r="U45" i="34"/>
  <c r="T45" i="34"/>
  <c r="S45" i="34"/>
  <c r="R45" i="34"/>
  <c r="Q45" i="34"/>
  <c r="P45" i="34"/>
  <c r="O45" i="34"/>
  <c r="K45" i="34"/>
  <c r="J45" i="34"/>
  <c r="I45" i="34"/>
  <c r="H45" i="34"/>
  <c r="G45" i="34"/>
  <c r="F45" i="34"/>
  <c r="E45" i="34"/>
  <c r="AO44" i="34"/>
  <c r="AN44" i="34"/>
  <c r="AM44" i="34"/>
  <c r="AL44" i="34"/>
  <c r="AK44" i="34"/>
  <c r="AJ44" i="34"/>
  <c r="AI44" i="34"/>
  <c r="AE44" i="34"/>
  <c r="AD44" i="34"/>
  <c r="AC44" i="34"/>
  <c r="AB44" i="34"/>
  <c r="AA44" i="34"/>
  <c r="Z44" i="34"/>
  <c r="Y44" i="34"/>
  <c r="U44" i="34"/>
  <c r="T44" i="34"/>
  <c r="S44" i="34"/>
  <c r="R44" i="34"/>
  <c r="Q44" i="34"/>
  <c r="P44" i="34"/>
  <c r="O44" i="34"/>
  <c r="K44" i="34"/>
  <c r="J44" i="34"/>
  <c r="I44" i="34"/>
  <c r="H44" i="34"/>
  <c r="G44" i="34"/>
  <c r="F44" i="34"/>
  <c r="E44" i="34"/>
  <c r="A44" i="34"/>
  <c r="A45" i="34" s="1"/>
  <c r="A46" i="34" s="1"/>
  <c r="A47" i="34" s="1"/>
  <c r="AO43" i="34"/>
  <c r="AN43" i="34"/>
  <c r="AM43" i="34"/>
  <c r="AL43" i="34"/>
  <c r="AK43" i="34"/>
  <c r="AJ43" i="34"/>
  <c r="AI43" i="34"/>
  <c r="AE43" i="34"/>
  <c r="AD43" i="34"/>
  <c r="AC43" i="34"/>
  <c r="AB43" i="34"/>
  <c r="AA43" i="34"/>
  <c r="Z43" i="34"/>
  <c r="Y43" i="34"/>
  <c r="V43" i="34"/>
  <c r="U43" i="34"/>
  <c r="T43" i="34"/>
  <c r="S43" i="34"/>
  <c r="R43" i="34"/>
  <c r="Q43" i="34"/>
  <c r="P43" i="34"/>
  <c r="O43" i="34"/>
  <c r="K43" i="34"/>
  <c r="J43" i="34"/>
  <c r="I43" i="34"/>
  <c r="H43" i="34"/>
  <c r="G43" i="34"/>
  <c r="F43" i="34"/>
  <c r="E43" i="34"/>
  <c r="A43" i="34"/>
  <c r="AO42" i="34"/>
  <c r="AN42" i="34"/>
  <c r="AM42" i="34"/>
  <c r="AL42" i="34"/>
  <c r="AK42" i="34"/>
  <c r="AJ42" i="34"/>
  <c r="AI42" i="34"/>
  <c r="AE42" i="34"/>
  <c r="AD42" i="34"/>
  <c r="AC42" i="34"/>
  <c r="AB42" i="34"/>
  <c r="AA42" i="34"/>
  <c r="Z42" i="34"/>
  <c r="Y42" i="34"/>
  <c r="U42" i="34"/>
  <c r="T42" i="34"/>
  <c r="S42" i="34"/>
  <c r="R42" i="34"/>
  <c r="Q42" i="34"/>
  <c r="P42" i="34"/>
  <c r="O42" i="34"/>
  <c r="K42" i="34"/>
  <c r="J42" i="34"/>
  <c r="I42" i="34"/>
  <c r="H42" i="34"/>
  <c r="G42" i="34"/>
  <c r="F42" i="34"/>
  <c r="E42" i="34"/>
  <c r="AP41" i="34"/>
  <c r="AF41" i="34"/>
  <c r="V41" i="34"/>
  <c r="L41" i="34"/>
  <c r="AP40" i="34"/>
  <c r="AF40" i="34"/>
  <c r="V40" i="34"/>
  <c r="L40" i="34"/>
  <c r="AP39" i="34"/>
  <c r="AP45" i="34" s="1"/>
  <c r="AP5" i="34" s="1"/>
  <c r="AR5" i="34" s="1"/>
  <c r="AF39" i="34"/>
  <c r="V39" i="34"/>
  <c r="L39" i="34"/>
  <c r="AP38" i="34"/>
  <c r="AF38" i="34"/>
  <c r="AF44" i="34" s="1"/>
  <c r="AF4" i="34" s="1"/>
  <c r="AH4" i="34" s="1"/>
  <c r="V38" i="34"/>
  <c r="L38" i="34"/>
  <c r="AP37" i="34"/>
  <c r="AF37" i="34"/>
  <c r="V37" i="34"/>
  <c r="L37" i="34"/>
  <c r="A37" i="34"/>
  <c r="A38" i="34" s="1"/>
  <c r="A39" i="34" s="1"/>
  <c r="A40" i="34" s="1"/>
  <c r="A41" i="34" s="1"/>
  <c r="AP36" i="34"/>
  <c r="AF36" i="34"/>
  <c r="V36" i="34"/>
  <c r="L36" i="34"/>
  <c r="L42" i="34" s="1"/>
  <c r="L2" i="34" s="1"/>
  <c r="N2" i="34" s="1"/>
  <c r="AP35" i="34"/>
  <c r="AF35" i="34"/>
  <c r="V35" i="34"/>
  <c r="L35" i="34"/>
  <c r="AP34" i="34"/>
  <c r="AF34" i="34"/>
  <c r="AF46" i="34" s="1"/>
  <c r="AF6" i="34" s="1"/>
  <c r="AH6" i="34" s="1"/>
  <c r="V34" i="34"/>
  <c r="L34" i="34"/>
  <c r="AP33" i="34"/>
  <c r="AF33" i="34"/>
  <c r="V33" i="34"/>
  <c r="L33" i="34"/>
  <c r="AP32" i="34"/>
  <c r="AF32" i="34"/>
  <c r="V32" i="34"/>
  <c r="L32" i="34"/>
  <c r="L44" i="34" s="1"/>
  <c r="L4" i="34" s="1"/>
  <c r="N4" i="34" s="1"/>
  <c r="A32" i="34"/>
  <c r="A33" i="34" s="1"/>
  <c r="A34" i="34" s="1"/>
  <c r="A35" i="34" s="1"/>
  <c r="AP31" i="34"/>
  <c r="AF31" i="34"/>
  <c r="V31" i="34"/>
  <c r="L31" i="34"/>
  <c r="L43" i="34" s="1"/>
  <c r="L3" i="34" s="1"/>
  <c r="N3" i="34" s="1"/>
  <c r="A31" i="34"/>
  <c r="AP30" i="34"/>
  <c r="AF30" i="34"/>
  <c r="V30" i="34"/>
  <c r="L30" i="34"/>
  <c r="AP29" i="34"/>
  <c r="AP47" i="34" s="1"/>
  <c r="AP7" i="34" s="1"/>
  <c r="AR7" i="34" s="1"/>
  <c r="AF29" i="34"/>
  <c r="AF47" i="34" s="1"/>
  <c r="AF7" i="34" s="1"/>
  <c r="AH7" i="34" s="1"/>
  <c r="V29" i="34"/>
  <c r="L29" i="34"/>
  <c r="L47" i="34" s="1"/>
  <c r="L7" i="34" s="1"/>
  <c r="N7" i="34" s="1"/>
  <c r="AP28" i="34"/>
  <c r="AP46" i="34" s="1"/>
  <c r="AP6" i="34" s="1"/>
  <c r="AR6" i="34" s="1"/>
  <c r="AF28" i="34"/>
  <c r="V28" i="34"/>
  <c r="V46" i="34" s="1"/>
  <c r="V6" i="34" s="1"/>
  <c r="X6" i="34" s="1"/>
  <c r="L28" i="34"/>
  <c r="L46" i="34" s="1"/>
  <c r="L6" i="34" s="1"/>
  <c r="N6" i="34" s="1"/>
  <c r="AP27" i="34"/>
  <c r="AF27" i="34"/>
  <c r="AF45" i="34" s="1"/>
  <c r="AF5" i="34" s="1"/>
  <c r="AH5" i="34" s="1"/>
  <c r="V27" i="34"/>
  <c r="V45" i="34" s="1"/>
  <c r="V5" i="34" s="1"/>
  <c r="X5" i="34" s="1"/>
  <c r="L27" i="34"/>
  <c r="L45" i="34" s="1"/>
  <c r="L5" i="34" s="1"/>
  <c r="N5" i="34" s="1"/>
  <c r="AP26" i="34"/>
  <c r="AP44" i="34" s="1"/>
  <c r="AP4" i="34" s="1"/>
  <c r="AR4" i="34" s="1"/>
  <c r="AF26" i="34"/>
  <c r="V26" i="34"/>
  <c r="V44" i="34" s="1"/>
  <c r="V4" i="34" s="1"/>
  <c r="X4" i="34" s="1"/>
  <c r="L26" i="34"/>
  <c r="AP25" i="34"/>
  <c r="AP43" i="34" s="1"/>
  <c r="AP3" i="34" s="1"/>
  <c r="AR3" i="34" s="1"/>
  <c r="AF25" i="34"/>
  <c r="AF43" i="34" s="1"/>
  <c r="AF3" i="34" s="1"/>
  <c r="AH3" i="34" s="1"/>
  <c r="V25" i="34"/>
  <c r="L25" i="34"/>
  <c r="A25" i="34"/>
  <c r="A26" i="34" s="1"/>
  <c r="A27" i="34" s="1"/>
  <c r="A28" i="34" s="1"/>
  <c r="A29" i="34" s="1"/>
  <c r="AP24" i="34"/>
  <c r="AP42" i="34" s="1"/>
  <c r="AP2" i="34" s="1"/>
  <c r="AR2" i="34" s="1"/>
  <c r="AF24" i="34"/>
  <c r="AF42" i="34" s="1"/>
  <c r="AF2" i="34" s="1"/>
  <c r="AH2" i="34" s="1"/>
  <c r="V24" i="34"/>
  <c r="V42" i="34" s="1"/>
  <c r="V2" i="34" s="1"/>
  <c r="X2" i="34" s="1"/>
  <c r="L24" i="34"/>
  <c r="AP23" i="34"/>
  <c r="AF23" i="34"/>
  <c r="V23" i="34"/>
  <c r="L23" i="34"/>
  <c r="AP22" i="34"/>
  <c r="AF22" i="34"/>
  <c r="V22" i="34"/>
  <c r="L22" i="34"/>
  <c r="AP21" i="34"/>
  <c r="AF21" i="34"/>
  <c r="V21" i="34"/>
  <c r="L21" i="34"/>
  <c r="AP20" i="34"/>
  <c r="AF20" i="34"/>
  <c r="V20" i="34"/>
  <c r="L20" i="34"/>
  <c r="A20" i="34"/>
  <c r="A21" i="34" s="1"/>
  <c r="A22" i="34" s="1"/>
  <c r="A23" i="34" s="1"/>
  <c r="AP19" i="34"/>
  <c r="AF19" i="34"/>
  <c r="V19" i="34"/>
  <c r="L19" i="34"/>
  <c r="AP18" i="34"/>
  <c r="AF18" i="34"/>
  <c r="V18" i="34"/>
  <c r="L18" i="34"/>
  <c r="A18" i="34"/>
  <c r="AP17" i="34"/>
  <c r="AF17" i="34"/>
  <c r="V17" i="34"/>
  <c r="L17" i="34"/>
  <c r="AP16" i="34"/>
  <c r="AF16" i="34"/>
  <c r="V16" i="34"/>
  <c r="L16" i="34"/>
  <c r="AP15" i="34"/>
  <c r="AF15" i="34"/>
  <c r="V15" i="34"/>
  <c r="L15" i="34"/>
  <c r="AP14" i="34"/>
  <c r="AF14" i="34"/>
  <c r="V14" i="34"/>
  <c r="L14" i="34"/>
  <c r="AP13" i="34"/>
  <c r="AF13" i="34"/>
  <c r="V13" i="34"/>
  <c r="L13" i="34"/>
  <c r="AP12" i="34"/>
  <c r="AF12" i="34"/>
  <c r="V12" i="34"/>
  <c r="L12" i="34"/>
  <c r="AP11" i="34"/>
  <c r="AF11" i="34"/>
  <c r="V11" i="34"/>
  <c r="L11" i="34"/>
  <c r="AP10" i="34"/>
  <c r="AF10" i="34"/>
  <c r="V10" i="34"/>
  <c r="L10" i="34"/>
  <c r="AP9" i="34"/>
  <c r="AF9" i="34"/>
  <c r="V9" i="34"/>
  <c r="L9" i="34"/>
  <c r="A9" i="34"/>
  <c r="A10" i="34" s="1"/>
  <c r="A11" i="34" s="1"/>
  <c r="A12" i="34" s="1"/>
  <c r="A13" i="34" s="1"/>
  <c r="AP8" i="34"/>
  <c r="AF8" i="34"/>
  <c r="V8" i="34"/>
  <c r="L8" i="34"/>
  <c r="AO7" i="34"/>
  <c r="AN7" i="34"/>
  <c r="AM7" i="34"/>
  <c r="AK7" i="34"/>
  <c r="AI7" i="34"/>
  <c r="AE7" i="34"/>
  <c r="AD7" i="34"/>
  <c r="AC7" i="34"/>
  <c r="AB7" i="34"/>
  <c r="AA7" i="34"/>
  <c r="Z7" i="34"/>
  <c r="Y7" i="34"/>
  <c r="U7" i="34"/>
  <c r="T7" i="34"/>
  <c r="S7" i="34"/>
  <c r="R7" i="34"/>
  <c r="Q7" i="34"/>
  <c r="P7" i="34"/>
  <c r="O7" i="34"/>
  <c r="K7" i="34"/>
  <c r="J7" i="34"/>
  <c r="H7" i="34"/>
  <c r="G7" i="34"/>
  <c r="F7" i="34"/>
  <c r="E7" i="34"/>
  <c r="AO6" i="34"/>
  <c r="AN6" i="34"/>
  <c r="AM6" i="34"/>
  <c r="AL6" i="34"/>
  <c r="AK6" i="34"/>
  <c r="AI6" i="34"/>
  <c r="AE6" i="34"/>
  <c r="AD6" i="34"/>
  <c r="AC6" i="34"/>
  <c r="AB6" i="34"/>
  <c r="AA6" i="34"/>
  <c r="Z6" i="34"/>
  <c r="Y6" i="34"/>
  <c r="U6" i="34"/>
  <c r="T6" i="34"/>
  <c r="S6" i="34"/>
  <c r="R6" i="34"/>
  <c r="Q6" i="34"/>
  <c r="P6" i="34"/>
  <c r="O6" i="34"/>
  <c r="K6" i="34"/>
  <c r="J6" i="34"/>
  <c r="I6" i="34"/>
  <c r="H6" i="34"/>
  <c r="G6" i="34"/>
  <c r="F6" i="34"/>
  <c r="E6" i="34"/>
  <c r="AO5" i="34"/>
  <c r="AN5" i="34"/>
  <c r="AM5" i="34"/>
  <c r="AL5" i="34"/>
  <c r="AK5" i="34"/>
  <c r="AJ5" i="34"/>
  <c r="AI5" i="34"/>
  <c r="AE5" i="34"/>
  <c r="AD5" i="34"/>
  <c r="AC5" i="34"/>
  <c r="AB5" i="34"/>
  <c r="AA5" i="34"/>
  <c r="Z5" i="34"/>
  <c r="Y5" i="34"/>
  <c r="U5" i="34"/>
  <c r="T5" i="34"/>
  <c r="S5" i="34"/>
  <c r="R5" i="34"/>
  <c r="Q5" i="34"/>
  <c r="P5" i="34"/>
  <c r="O5" i="34"/>
  <c r="K5" i="34"/>
  <c r="J5" i="34"/>
  <c r="I5" i="34"/>
  <c r="H5" i="34"/>
  <c r="G5" i="34"/>
  <c r="F5" i="34"/>
  <c r="E5" i="34"/>
  <c r="AO4" i="34"/>
  <c r="AN4" i="34"/>
  <c r="AM4" i="34"/>
  <c r="AL4" i="34"/>
  <c r="AK4" i="34"/>
  <c r="AJ4" i="34"/>
  <c r="AI4" i="34"/>
  <c r="AE4" i="34"/>
  <c r="AD4" i="34"/>
  <c r="AC4" i="34"/>
  <c r="AB4" i="34"/>
  <c r="AA4" i="34"/>
  <c r="Z4" i="34"/>
  <c r="Y4" i="34"/>
  <c r="U4" i="34"/>
  <c r="T4" i="34"/>
  <c r="S4" i="34"/>
  <c r="R4" i="34"/>
  <c r="Q4" i="34"/>
  <c r="P4" i="34"/>
  <c r="O4" i="34"/>
  <c r="K4" i="34"/>
  <c r="J4" i="34"/>
  <c r="I4" i="34"/>
  <c r="H4" i="34"/>
  <c r="G4" i="34"/>
  <c r="F4" i="34"/>
  <c r="E4" i="34"/>
  <c r="AO3" i="34"/>
  <c r="AN3" i="34"/>
  <c r="AM3" i="34"/>
  <c r="AL3" i="34"/>
  <c r="AK3" i="34"/>
  <c r="AJ3" i="34"/>
  <c r="AI3" i="34"/>
  <c r="AE3" i="34"/>
  <c r="AD3" i="34"/>
  <c r="AC3" i="34"/>
  <c r="AB3" i="34"/>
  <c r="AA3" i="34"/>
  <c r="Z3" i="34"/>
  <c r="Y3" i="34"/>
  <c r="X3" i="34"/>
  <c r="V3" i="34"/>
  <c r="U3" i="34"/>
  <c r="T3" i="34"/>
  <c r="S3" i="34"/>
  <c r="R3" i="34"/>
  <c r="Q3" i="34"/>
  <c r="P3" i="34"/>
  <c r="O3" i="34"/>
  <c r="K3" i="34"/>
  <c r="J3" i="34"/>
  <c r="I3" i="34"/>
  <c r="H3" i="34"/>
  <c r="G3" i="34"/>
  <c r="F3" i="34"/>
  <c r="E3" i="34"/>
  <c r="AO2" i="34"/>
  <c r="AN2" i="34"/>
  <c r="AM2" i="34"/>
  <c r="AL2" i="34"/>
  <c r="AK2" i="34"/>
  <c r="AJ2" i="34"/>
  <c r="AI2" i="34"/>
  <c r="AE2" i="34"/>
  <c r="AD2" i="34"/>
  <c r="AC2" i="34"/>
  <c r="AB2" i="34"/>
  <c r="AA2" i="34"/>
  <c r="Z2" i="34"/>
  <c r="Y2" i="34"/>
  <c r="U2" i="34"/>
  <c r="T2" i="34"/>
  <c r="S2" i="34"/>
  <c r="R2" i="34"/>
  <c r="Q2" i="34"/>
  <c r="P2" i="34"/>
  <c r="O2" i="34"/>
  <c r="K2" i="34"/>
  <c r="J2" i="34"/>
  <c r="I2" i="34"/>
  <c r="H2" i="34"/>
  <c r="G2" i="34"/>
  <c r="F2" i="34"/>
  <c r="E2" i="34"/>
  <c r="B15" i="32"/>
  <c r="B8" i="32"/>
  <c r="E16" i="31"/>
  <c r="C15" i="31"/>
  <c r="F15" i="31" s="1"/>
  <c r="F16" i="31" s="1"/>
  <c r="F14" i="31"/>
  <c r="C14" i="31"/>
  <c r="E8" i="31"/>
  <c r="D8" i="31"/>
  <c r="C8" i="31"/>
  <c r="E7" i="31"/>
  <c r="E6" i="31"/>
  <c r="E5" i="31"/>
  <c r="M29" i="29"/>
  <c r="L29" i="29"/>
  <c r="K29" i="29"/>
  <c r="J29" i="29"/>
  <c r="I29" i="29"/>
  <c r="H29" i="29"/>
  <c r="G29" i="29"/>
  <c r="F29" i="29"/>
  <c r="E29" i="29"/>
  <c r="D29" i="29"/>
  <c r="G13" i="28"/>
  <c r="G12" i="28"/>
  <c r="G7" i="28"/>
  <c r="G6" i="28"/>
  <c r="G5" i="28"/>
  <c r="C13" i="27"/>
  <c r="B13" i="27"/>
  <c r="C12" i="27"/>
  <c r="C11" i="27"/>
  <c r="B11" i="27"/>
  <c r="D82" i="26"/>
  <c r="E82" i="26" s="1"/>
  <c r="E81" i="26"/>
  <c r="D81" i="26"/>
  <c r="E79" i="26"/>
  <c r="D79" i="26"/>
  <c r="D78" i="26"/>
  <c r="E77" i="26"/>
  <c r="D77" i="26"/>
  <c r="E75" i="26"/>
  <c r="N74" i="26"/>
  <c r="M74" i="26"/>
  <c r="K74" i="26"/>
  <c r="H74" i="26"/>
  <c r="G74" i="26"/>
  <c r="L74" i="26" s="1"/>
  <c r="F74" i="26"/>
  <c r="M73" i="26"/>
  <c r="N73" i="26" s="1"/>
  <c r="L73" i="26"/>
  <c r="G73" i="26"/>
  <c r="H73" i="26" s="1"/>
  <c r="K73" i="26" s="1"/>
  <c r="F73" i="26"/>
  <c r="K72" i="26"/>
  <c r="H72" i="26"/>
  <c r="G72" i="26"/>
  <c r="L72" i="26" s="1"/>
  <c r="F72" i="26"/>
  <c r="M71" i="26"/>
  <c r="N71" i="26" s="1"/>
  <c r="L71" i="26"/>
  <c r="G71" i="26"/>
  <c r="H71" i="26" s="1"/>
  <c r="K71" i="26" s="1"/>
  <c r="F71" i="26"/>
  <c r="M70" i="26"/>
  <c r="N70" i="26" s="1"/>
  <c r="H70" i="26"/>
  <c r="K70" i="26" s="1"/>
  <c r="G70" i="26"/>
  <c r="L70" i="26" s="1"/>
  <c r="F70" i="26"/>
  <c r="N69" i="26"/>
  <c r="M69" i="26"/>
  <c r="L69" i="26"/>
  <c r="G69" i="26"/>
  <c r="H69" i="26" s="1"/>
  <c r="K69" i="26" s="1"/>
  <c r="F69" i="26"/>
  <c r="M68" i="26"/>
  <c r="N68" i="26" s="1"/>
  <c r="G68" i="26"/>
  <c r="H68" i="26" s="1"/>
  <c r="K68" i="26" s="1"/>
  <c r="F68" i="26"/>
  <c r="G67" i="26"/>
  <c r="H67" i="26" s="1"/>
  <c r="F67" i="26"/>
  <c r="M66" i="26"/>
  <c r="N66" i="26" s="1"/>
  <c r="H66" i="26"/>
  <c r="K66" i="26" s="1"/>
  <c r="G66" i="26"/>
  <c r="L66" i="26" s="1"/>
  <c r="F66" i="26"/>
  <c r="N65" i="26"/>
  <c r="M65" i="26"/>
  <c r="L65" i="26"/>
  <c r="G65" i="26"/>
  <c r="H65" i="26" s="1"/>
  <c r="K65" i="26" s="1"/>
  <c r="F65" i="26"/>
  <c r="N64" i="26"/>
  <c r="M64" i="26"/>
  <c r="G64" i="26"/>
  <c r="H64" i="26" s="1"/>
  <c r="K64" i="26" s="1"/>
  <c r="F64" i="26"/>
  <c r="M63" i="26"/>
  <c r="N63" i="26" s="1"/>
  <c r="H63" i="26"/>
  <c r="K63" i="26" s="1"/>
  <c r="G63" i="26"/>
  <c r="L63" i="26" s="1"/>
  <c r="F63" i="26"/>
  <c r="N62" i="26"/>
  <c r="M62" i="26"/>
  <c r="L62" i="26"/>
  <c r="G62" i="26"/>
  <c r="H62" i="26" s="1"/>
  <c r="K62" i="26" s="1"/>
  <c r="F62" i="26"/>
  <c r="G61" i="26"/>
  <c r="H61" i="26" s="1"/>
  <c r="F61" i="26"/>
  <c r="H60" i="26"/>
  <c r="K60" i="26" s="1"/>
  <c r="G60" i="26"/>
  <c r="L60" i="26" s="1"/>
  <c r="F60" i="26"/>
  <c r="N59" i="26"/>
  <c r="M59" i="26"/>
  <c r="L59" i="26"/>
  <c r="G59" i="26"/>
  <c r="H59" i="26" s="1"/>
  <c r="K59" i="26" s="1"/>
  <c r="F59" i="26"/>
  <c r="N58" i="26"/>
  <c r="M58" i="26"/>
  <c r="G58" i="26"/>
  <c r="H58" i="26" s="1"/>
  <c r="K58" i="26" s="1"/>
  <c r="F58" i="26"/>
  <c r="M57" i="26"/>
  <c r="N57" i="26" s="1"/>
  <c r="H57" i="26"/>
  <c r="K57" i="26" s="1"/>
  <c r="G57" i="26"/>
  <c r="L57" i="26" s="1"/>
  <c r="F57" i="26"/>
  <c r="N56" i="26"/>
  <c r="M56" i="26"/>
  <c r="L56" i="26"/>
  <c r="G56" i="26"/>
  <c r="H56" i="26" s="1"/>
  <c r="K56" i="26" s="1"/>
  <c r="F56" i="26"/>
  <c r="F55" i="26"/>
  <c r="F54" i="26"/>
  <c r="M53" i="26"/>
  <c r="N53" i="26" s="1"/>
  <c r="L53" i="26"/>
  <c r="G53" i="26"/>
  <c r="H53" i="26" s="1"/>
  <c r="K53" i="26" s="1"/>
  <c r="F53" i="26"/>
  <c r="M52" i="26"/>
  <c r="N52" i="26" s="1"/>
  <c r="H52" i="26"/>
  <c r="K52" i="26" s="1"/>
  <c r="G52" i="26"/>
  <c r="L52" i="26" s="1"/>
  <c r="F52" i="26"/>
  <c r="N51" i="26"/>
  <c r="M51" i="26"/>
  <c r="L51" i="26"/>
  <c r="K51" i="26"/>
  <c r="H51" i="26"/>
  <c r="F51" i="26"/>
  <c r="L50" i="26"/>
  <c r="G50" i="26"/>
  <c r="H50" i="26" s="1"/>
  <c r="K50" i="26" s="1"/>
  <c r="F50" i="26"/>
  <c r="M49" i="26"/>
  <c r="N49" i="26" s="1"/>
  <c r="L49" i="26"/>
  <c r="H49" i="26"/>
  <c r="K49" i="26" s="1"/>
  <c r="G49" i="26"/>
  <c r="F49" i="26"/>
  <c r="N48" i="26"/>
  <c r="M48" i="26"/>
  <c r="G48" i="26"/>
  <c r="H48" i="26" s="1"/>
  <c r="K48" i="26" s="1"/>
  <c r="F48" i="26"/>
  <c r="M47" i="26"/>
  <c r="N47" i="26" s="1"/>
  <c r="L47" i="26"/>
  <c r="G47" i="26"/>
  <c r="H47" i="26" s="1"/>
  <c r="K47" i="26" s="1"/>
  <c r="F47" i="26"/>
  <c r="M46" i="26"/>
  <c r="N46" i="26" s="1"/>
  <c r="L46" i="26"/>
  <c r="H46" i="26"/>
  <c r="K46" i="26" s="1"/>
  <c r="G46" i="26"/>
  <c r="F46" i="26"/>
  <c r="N45" i="26"/>
  <c r="M45" i="26"/>
  <c r="K45" i="26"/>
  <c r="H45" i="26"/>
  <c r="G45" i="26"/>
  <c r="L45" i="26" s="1"/>
  <c r="F45" i="26"/>
  <c r="M44" i="26"/>
  <c r="N44" i="26" s="1"/>
  <c r="L44" i="26"/>
  <c r="K44" i="26"/>
  <c r="F44" i="26"/>
  <c r="D42" i="26"/>
  <c r="E40" i="26"/>
  <c r="K39" i="26"/>
  <c r="H39" i="26"/>
  <c r="G39" i="26"/>
  <c r="L39" i="26" s="1"/>
  <c r="F39" i="26"/>
  <c r="L38" i="26"/>
  <c r="H38" i="26"/>
  <c r="K38" i="26" s="1"/>
  <c r="G38" i="26"/>
  <c r="F38" i="26"/>
  <c r="L37" i="26"/>
  <c r="G37" i="26"/>
  <c r="H37" i="26" s="1"/>
  <c r="K37" i="26" s="1"/>
  <c r="F37" i="26"/>
  <c r="G36" i="26"/>
  <c r="H36" i="26" s="1"/>
  <c r="K36" i="26" s="1"/>
  <c r="F36" i="26"/>
  <c r="L35" i="26"/>
  <c r="H35" i="26"/>
  <c r="K35" i="26" s="1"/>
  <c r="G35" i="26"/>
  <c r="F35" i="26"/>
  <c r="J34" i="26"/>
  <c r="I34" i="26"/>
  <c r="G34" i="26"/>
  <c r="H34" i="26" s="1"/>
  <c r="F34" i="26"/>
  <c r="L33" i="26"/>
  <c r="G33" i="26"/>
  <c r="H33" i="26" s="1"/>
  <c r="K33" i="26" s="1"/>
  <c r="F33" i="26"/>
  <c r="J32" i="26"/>
  <c r="L32" i="26" s="1"/>
  <c r="G32" i="26"/>
  <c r="H32" i="26" s="1"/>
  <c r="K32" i="26" s="1"/>
  <c r="F32" i="26"/>
  <c r="I31" i="26"/>
  <c r="I32" i="26" s="1"/>
  <c r="G31" i="26"/>
  <c r="L31" i="26" s="1"/>
  <c r="F31" i="26"/>
  <c r="K30" i="26"/>
  <c r="H30" i="26"/>
  <c r="G30" i="26"/>
  <c r="L30" i="26" s="1"/>
  <c r="F30" i="26"/>
  <c r="L29" i="26"/>
  <c r="H29" i="26"/>
  <c r="K29" i="26" s="1"/>
  <c r="G29" i="26"/>
  <c r="F29" i="26"/>
  <c r="L28" i="26"/>
  <c r="J28" i="26"/>
  <c r="H28" i="26"/>
  <c r="K28" i="26" s="1"/>
  <c r="G28" i="26"/>
  <c r="F28" i="26"/>
  <c r="L27" i="26"/>
  <c r="I27" i="26"/>
  <c r="I28" i="26" s="1"/>
  <c r="G27" i="26"/>
  <c r="H27" i="26" s="1"/>
  <c r="K27" i="26" s="1"/>
  <c r="F27" i="26"/>
  <c r="H26" i="26"/>
  <c r="K26" i="26" s="1"/>
  <c r="G26" i="26"/>
  <c r="L26" i="26" s="1"/>
  <c r="F26" i="26"/>
  <c r="G25" i="26"/>
  <c r="H25" i="26" s="1"/>
  <c r="K25" i="26" s="1"/>
  <c r="F25" i="26"/>
  <c r="I24" i="26"/>
  <c r="H24" i="26"/>
  <c r="G24" i="26"/>
  <c r="F24" i="26"/>
  <c r="J23" i="26"/>
  <c r="J24" i="26" s="1"/>
  <c r="I23" i="26"/>
  <c r="G23" i="26"/>
  <c r="H23" i="26" s="1"/>
  <c r="K23" i="26" s="1"/>
  <c r="F23" i="26"/>
  <c r="U22" i="26"/>
  <c r="L22" i="26"/>
  <c r="G22" i="26"/>
  <c r="H22" i="26" s="1"/>
  <c r="K22" i="26" s="1"/>
  <c r="F22" i="26"/>
  <c r="U21" i="26"/>
  <c r="G21" i="26"/>
  <c r="H21" i="26" s="1"/>
  <c r="K21" i="26" s="1"/>
  <c r="F21" i="26"/>
  <c r="U20" i="26"/>
  <c r="L20" i="26"/>
  <c r="G20" i="26"/>
  <c r="H20" i="26" s="1"/>
  <c r="K20" i="26" s="1"/>
  <c r="F20" i="26"/>
  <c r="U19" i="26"/>
  <c r="G19" i="26"/>
  <c r="H19" i="26" s="1"/>
  <c r="K19" i="26" s="1"/>
  <c r="F19" i="26"/>
  <c r="U18" i="26"/>
  <c r="I18" i="26"/>
  <c r="H18" i="26"/>
  <c r="G18" i="26"/>
  <c r="F18" i="26"/>
  <c r="U17" i="26"/>
  <c r="L17" i="26"/>
  <c r="K17" i="26"/>
  <c r="J17" i="26"/>
  <c r="J18" i="26" s="1"/>
  <c r="L18" i="26" s="1"/>
  <c r="I17" i="26"/>
  <c r="H17" i="26"/>
  <c r="G17" i="26"/>
  <c r="F17" i="26"/>
  <c r="U16" i="26"/>
  <c r="H16" i="26"/>
  <c r="K16" i="26" s="1"/>
  <c r="G16" i="26"/>
  <c r="L16" i="26" s="1"/>
  <c r="F16" i="26"/>
  <c r="L15" i="26"/>
  <c r="G15" i="26"/>
  <c r="H15" i="26" s="1"/>
  <c r="K15" i="26" s="1"/>
  <c r="F15" i="26"/>
  <c r="H14" i="26"/>
  <c r="G14" i="26"/>
  <c r="F14" i="26"/>
  <c r="L13" i="26"/>
  <c r="J13" i="26"/>
  <c r="K13" i="26" s="1"/>
  <c r="I13" i="26"/>
  <c r="I14" i="26" s="1"/>
  <c r="H13" i="26"/>
  <c r="G13" i="26"/>
  <c r="F13" i="26"/>
  <c r="H12" i="26"/>
  <c r="K12" i="26" s="1"/>
  <c r="G12" i="26"/>
  <c r="L12" i="26" s="1"/>
  <c r="F12" i="26"/>
  <c r="I11" i="26"/>
  <c r="H11" i="26"/>
  <c r="G11" i="26"/>
  <c r="F11" i="26"/>
  <c r="J10" i="26"/>
  <c r="J11" i="26" s="1"/>
  <c r="I10" i="26"/>
  <c r="G10" i="26"/>
  <c r="H10" i="26" s="1"/>
  <c r="K10" i="26" s="1"/>
  <c r="F10" i="26"/>
  <c r="L9" i="26"/>
  <c r="K9" i="26"/>
  <c r="H9" i="26"/>
  <c r="G9" i="26"/>
  <c r="F9" i="26"/>
  <c r="H8" i="26"/>
  <c r="K8" i="26" s="1"/>
  <c r="G8" i="26"/>
  <c r="L8" i="26" s="1"/>
  <c r="F8" i="26"/>
  <c r="L7" i="26"/>
  <c r="I7" i="26"/>
  <c r="H7" i="26"/>
  <c r="K7" i="26" s="1"/>
  <c r="G7" i="26"/>
  <c r="F7" i="26"/>
  <c r="I6" i="26"/>
  <c r="F6" i="26"/>
  <c r="L5" i="26"/>
  <c r="G5" i="26"/>
  <c r="G6" i="26" s="1"/>
  <c r="F5" i="26"/>
  <c r="K4" i="26"/>
  <c r="H4" i="26"/>
  <c r="G4" i="26"/>
  <c r="L4" i="26" s="1"/>
  <c r="F4" i="26"/>
  <c r="S30" i="25"/>
  <c r="Q30" i="25"/>
  <c r="P30" i="25"/>
  <c r="O30" i="25"/>
  <c r="M30" i="25"/>
  <c r="L30" i="25"/>
  <c r="K30" i="25"/>
  <c r="I30" i="25"/>
  <c r="G30" i="25"/>
  <c r="F30" i="25"/>
  <c r="E30" i="25"/>
  <c r="R29" i="25"/>
  <c r="M29" i="25"/>
  <c r="H29" i="25"/>
  <c r="J29" i="25" s="1"/>
  <c r="R28" i="25"/>
  <c r="M28" i="25"/>
  <c r="J28" i="25"/>
  <c r="H28" i="25"/>
  <c r="R27" i="25"/>
  <c r="M27" i="25"/>
  <c r="H27" i="25"/>
  <c r="J27" i="25" s="1"/>
  <c r="R26" i="25"/>
  <c r="M26" i="25"/>
  <c r="H26" i="25"/>
  <c r="J26" i="25" s="1"/>
  <c r="R25" i="25"/>
  <c r="M25" i="25"/>
  <c r="J25" i="25"/>
  <c r="H25" i="25"/>
  <c r="R24" i="25"/>
  <c r="M24" i="25"/>
  <c r="H24" i="25"/>
  <c r="J24" i="25" s="1"/>
  <c r="R23" i="25"/>
  <c r="M23" i="25"/>
  <c r="H23" i="25"/>
  <c r="J23" i="25" s="1"/>
  <c r="R22" i="25"/>
  <c r="M22" i="25"/>
  <c r="J22" i="25"/>
  <c r="H22" i="25"/>
  <c r="R21" i="25"/>
  <c r="M21" i="25"/>
  <c r="H21" i="25"/>
  <c r="J21" i="25" s="1"/>
  <c r="R20" i="25"/>
  <c r="M20" i="25"/>
  <c r="H20" i="25"/>
  <c r="J20" i="25" s="1"/>
  <c r="R19" i="25"/>
  <c r="M19" i="25"/>
  <c r="J19" i="25"/>
  <c r="H19" i="25"/>
  <c r="R18" i="25"/>
  <c r="M18" i="25"/>
  <c r="H18" i="25"/>
  <c r="J18" i="25" s="1"/>
  <c r="R17" i="25"/>
  <c r="M17" i="25"/>
  <c r="H17" i="25"/>
  <c r="J17" i="25" s="1"/>
  <c r="R16" i="25"/>
  <c r="M16" i="25"/>
  <c r="J16" i="25"/>
  <c r="H16" i="25"/>
  <c r="R15" i="25"/>
  <c r="M15" i="25"/>
  <c r="H15" i="25"/>
  <c r="J15" i="25" s="1"/>
  <c r="R14" i="25"/>
  <c r="M14" i="25"/>
  <c r="H14" i="25"/>
  <c r="J14" i="25" s="1"/>
  <c r="R13" i="25"/>
  <c r="M13" i="25"/>
  <c r="J13" i="25"/>
  <c r="H13" i="25"/>
  <c r="R12" i="25"/>
  <c r="M12" i="25"/>
  <c r="H12" i="25"/>
  <c r="J12" i="25" s="1"/>
  <c r="R11" i="25"/>
  <c r="M11" i="25"/>
  <c r="H11" i="25"/>
  <c r="J11" i="25" s="1"/>
  <c r="R10" i="25"/>
  <c r="M10" i="25"/>
  <c r="J10" i="25"/>
  <c r="H10" i="25"/>
  <c r="R9" i="25"/>
  <c r="M9" i="25"/>
  <c r="H9" i="25"/>
  <c r="J9" i="25" s="1"/>
  <c r="R8" i="25"/>
  <c r="M8" i="25"/>
  <c r="H8" i="25"/>
  <c r="J8" i="25" s="1"/>
  <c r="R7" i="25"/>
  <c r="M7" i="25"/>
  <c r="J7" i="25"/>
  <c r="H7" i="25"/>
  <c r="R6" i="25"/>
  <c r="M6" i="25"/>
  <c r="H6" i="25"/>
  <c r="J6" i="25" s="1"/>
  <c r="R5" i="25"/>
  <c r="R30" i="25" s="1"/>
  <c r="M5" i="25"/>
  <c r="H5" i="25"/>
  <c r="J5" i="25" s="1"/>
  <c r="R4" i="25"/>
  <c r="M4" i="25"/>
  <c r="J4" i="25"/>
  <c r="H4" i="25"/>
  <c r="R3" i="25"/>
  <c r="M3" i="25"/>
  <c r="H3" i="25"/>
  <c r="J3" i="25" s="1"/>
  <c r="H55" i="24"/>
  <c r="G55" i="24"/>
  <c r="H54" i="24"/>
  <c r="G54" i="24"/>
  <c r="H53" i="24"/>
  <c r="G53" i="24"/>
  <c r="H52" i="24"/>
  <c r="G52" i="24"/>
  <c r="H51" i="24"/>
  <c r="G51" i="24"/>
  <c r="H50" i="24"/>
  <c r="G50" i="24"/>
  <c r="H49" i="24"/>
  <c r="G49" i="24"/>
  <c r="H48" i="24"/>
  <c r="G48" i="24"/>
  <c r="H47" i="24"/>
  <c r="G47" i="24"/>
  <c r="H46" i="24"/>
  <c r="G46" i="24"/>
  <c r="H45" i="24"/>
  <c r="G45" i="24"/>
  <c r="H44" i="24"/>
  <c r="G44" i="24"/>
  <c r="H43" i="24"/>
  <c r="G43" i="24"/>
  <c r="H42" i="24"/>
  <c r="G42" i="24"/>
  <c r="H41" i="24"/>
  <c r="G41" i="24"/>
  <c r="H40" i="24"/>
  <c r="G40" i="24"/>
  <c r="G39" i="24"/>
  <c r="E39" i="24"/>
  <c r="H39" i="24" s="1"/>
  <c r="H38" i="24"/>
  <c r="G38" i="24"/>
  <c r="E38" i="24"/>
  <c r="H37" i="24"/>
  <c r="G37" i="24"/>
  <c r="E37" i="24"/>
  <c r="G36" i="24"/>
  <c r="E36" i="24"/>
  <c r="H36" i="24" s="1"/>
  <c r="G35" i="24"/>
  <c r="E35" i="24"/>
  <c r="H35" i="24" s="1"/>
  <c r="H34" i="24"/>
  <c r="G34" i="24"/>
  <c r="E34" i="24"/>
  <c r="H33" i="24"/>
  <c r="G33" i="24"/>
  <c r="E33" i="24"/>
  <c r="G32" i="24"/>
  <c r="E32" i="24"/>
  <c r="H32" i="24" s="1"/>
  <c r="G31" i="24"/>
  <c r="H31" i="24" s="1"/>
  <c r="E31" i="24"/>
  <c r="G30" i="24"/>
  <c r="H30" i="24" s="1"/>
  <c r="E30" i="24"/>
  <c r="G27" i="24"/>
  <c r="H27" i="24" s="1"/>
  <c r="E27" i="24"/>
  <c r="G26" i="24"/>
  <c r="H26" i="24" s="1"/>
  <c r="E26" i="24"/>
  <c r="G25" i="24"/>
  <c r="H25" i="24" s="1"/>
  <c r="E25" i="24"/>
  <c r="G24" i="24"/>
  <c r="H24" i="24" s="1"/>
  <c r="E24" i="24"/>
  <c r="G23" i="24"/>
  <c r="H23" i="24" s="1"/>
  <c r="E23" i="24"/>
  <c r="G19" i="24"/>
  <c r="H19" i="24" s="1"/>
  <c r="E19" i="24"/>
  <c r="G18" i="24"/>
  <c r="H18" i="24" s="1"/>
  <c r="E18" i="24"/>
  <c r="G17" i="24"/>
  <c r="H17" i="24" s="1"/>
  <c r="E17" i="24"/>
  <c r="G16" i="24"/>
  <c r="H16" i="24" s="1"/>
  <c r="E16" i="24"/>
  <c r="G10" i="24"/>
  <c r="H10" i="24" s="1"/>
  <c r="H9" i="24"/>
  <c r="G9" i="24"/>
  <c r="H8" i="24"/>
  <c r="G8" i="24"/>
  <c r="E7" i="24"/>
  <c r="E6" i="24"/>
  <c r="E5" i="24"/>
  <c r="G4" i="24"/>
  <c r="H4" i="24" s="1"/>
  <c r="H3" i="24"/>
  <c r="G3" i="24"/>
  <c r="H2" i="24"/>
  <c r="G2" i="24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V48" i="23"/>
  <c r="U48" i="23"/>
  <c r="P48" i="23"/>
  <c r="N48" i="23"/>
  <c r="M48" i="23"/>
  <c r="K48" i="23"/>
  <c r="J48" i="23"/>
  <c r="I48" i="23"/>
  <c r="H48" i="23"/>
  <c r="V47" i="23"/>
  <c r="U47" i="23"/>
  <c r="T47" i="23"/>
  <c r="S47" i="23"/>
  <c r="Q47" i="23"/>
  <c r="P47" i="23"/>
  <c r="O47" i="23"/>
  <c r="N47" i="23"/>
  <c r="M47" i="23"/>
  <c r="L47" i="23"/>
  <c r="K47" i="23"/>
  <c r="J47" i="23"/>
  <c r="I47" i="23"/>
  <c r="H47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V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V42" i="23"/>
  <c r="T42" i="23"/>
  <c r="S42" i="23"/>
  <c r="P42" i="23"/>
  <c r="O42" i="23"/>
  <c r="N42" i="23"/>
  <c r="M42" i="23"/>
  <c r="L42" i="23"/>
  <c r="K42" i="23"/>
  <c r="J42" i="23"/>
  <c r="I42" i="23"/>
  <c r="H42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V39" i="23"/>
  <c r="V54" i="23" s="1"/>
  <c r="U39" i="23"/>
  <c r="T39" i="23"/>
  <c r="S39" i="23"/>
  <c r="R39" i="23"/>
  <c r="Q39" i="23"/>
  <c r="P39" i="23"/>
  <c r="O39" i="23"/>
  <c r="N39" i="23"/>
  <c r="M39" i="23"/>
  <c r="M54" i="23" s="1"/>
  <c r="L39" i="23"/>
  <c r="K39" i="23"/>
  <c r="J39" i="23"/>
  <c r="J54" i="23" s="1"/>
  <c r="I39" i="23"/>
  <c r="H39" i="23"/>
  <c r="V38" i="23"/>
  <c r="U38" i="23"/>
  <c r="T38" i="23"/>
  <c r="S38" i="23"/>
  <c r="R38" i="23"/>
  <c r="Q38" i="23"/>
  <c r="P38" i="23"/>
  <c r="O38" i="23"/>
  <c r="N38" i="23"/>
  <c r="N54" i="23" s="1"/>
  <c r="M38" i="23"/>
  <c r="L38" i="23"/>
  <c r="K38" i="23"/>
  <c r="K54" i="23" s="1"/>
  <c r="J38" i="23"/>
  <c r="I38" i="23"/>
  <c r="I54" i="23" s="1"/>
  <c r="H38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L34" i="23" s="1"/>
  <c r="K31" i="23"/>
  <c r="J31" i="23"/>
  <c r="I31" i="23"/>
  <c r="H31" i="23"/>
  <c r="G31" i="23"/>
  <c r="F31" i="23"/>
  <c r="E31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W29" i="23"/>
  <c r="V29" i="23"/>
  <c r="U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W28" i="23"/>
  <c r="V28" i="23"/>
  <c r="U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W26" i="23"/>
  <c r="V26" i="23"/>
  <c r="U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W25" i="23"/>
  <c r="V25" i="23"/>
  <c r="U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W24" i="23"/>
  <c r="V24" i="23"/>
  <c r="U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W23" i="23"/>
  <c r="V23" i="23"/>
  <c r="U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W22" i="23"/>
  <c r="V22" i="23"/>
  <c r="U22" i="23"/>
  <c r="S22" i="23"/>
  <c r="R22" i="23"/>
  <c r="Q22" i="23"/>
  <c r="P22" i="23"/>
  <c r="O22" i="23"/>
  <c r="N22" i="23"/>
  <c r="L22" i="23"/>
  <c r="K22" i="23"/>
  <c r="J22" i="23"/>
  <c r="I22" i="23"/>
  <c r="H22" i="23"/>
  <c r="G22" i="23"/>
  <c r="F22" i="23"/>
  <c r="E22" i="23"/>
  <c r="W21" i="23"/>
  <c r="V21" i="23"/>
  <c r="U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W19" i="23"/>
  <c r="V19" i="23"/>
  <c r="U19" i="23"/>
  <c r="S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W18" i="23"/>
  <c r="V18" i="23"/>
  <c r="U18" i="23"/>
  <c r="S18" i="23"/>
  <c r="R18" i="23"/>
  <c r="Q18" i="23"/>
  <c r="O18" i="23"/>
  <c r="N18" i="23"/>
  <c r="M18" i="23"/>
  <c r="L18" i="23"/>
  <c r="K18" i="23"/>
  <c r="J18" i="23"/>
  <c r="I18" i="23"/>
  <c r="H18" i="23"/>
  <c r="G18" i="23"/>
  <c r="F18" i="23"/>
  <c r="E18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W16" i="23"/>
  <c r="V16" i="23"/>
  <c r="U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W15" i="23"/>
  <c r="V15" i="23"/>
  <c r="U15" i="23"/>
  <c r="S15" i="23"/>
  <c r="R15" i="23"/>
  <c r="Q15" i="23"/>
  <c r="Q34" i="23" s="1"/>
  <c r="P15" i="23"/>
  <c r="O15" i="23"/>
  <c r="N15" i="23"/>
  <c r="M15" i="23"/>
  <c r="L15" i="23"/>
  <c r="K15" i="23"/>
  <c r="J15" i="23"/>
  <c r="I15" i="23"/>
  <c r="H15" i="23"/>
  <c r="G15" i="23"/>
  <c r="F15" i="23"/>
  <c r="E15" i="23"/>
  <c r="W11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W9" i="23"/>
  <c r="V9" i="23"/>
  <c r="T9" i="23"/>
  <c r="S9" i="23"/>
  <c r="R9" i="23"/>
  <c r="Q9" i="23"/>
  <c r="O9" i="23"/>
  <c r="N9" i="23"/>
  <c r="M9" i="23"/>
  <c r="L9" i="23"/>
  <c r="K9" i="23"/>
  <c r="J9" i="23"/>
  <c r="I9" i="23"/>
  <c r="H9" i="23"/>
  <c r="G9" i="23"/>
  <c r="F9" i="23"/>
  <c r="E9" i="23"/>
  <c r="W8" i="23"/>
  <c r="V8" i="23"/>
  <c r="T8" i="23"/>
  <c r="T11" i="23" s="1"/>
  <c r="Q8" i="23"/>
  <c r="N8" i="23"/>
  <c r="M8" i="23"/>
  <c r="L8" i="23"/>
  <c r="K8" i="23"/>
  <c r="J8" i="23"/>
  <c r="I8" i="23"/>
  <c r="H8" i="23"/>
  <c r="H11" i="23" s="1"/>
  <c r="G8" i="23"/>
  <c r="F8" i="23"/>
  <c r="E8" i="23"/>
  <c r="W7" i="23"/>
  <c r="V7" i="23"/>
  <c r="T7" i="23"/>
  <c r="Q7" i="23"/>
  <c r="O7" i="23"/>
  <c r="N7" i="23"/>
  <c r="M7" i="23"/>
  <c r="L7" i="23"/>
  <c r="K7" i="23"/>
  <c r="J7" i="23"/>
  <c r="I7" i="23"/>
  <c r="H7" i="23"/>
  <c r="G7" i="23"/>
  <c r="F7" i="23"/>
  <c r="E7" i="23"/>
  <c r="W6" i="23"/>
  <c r="V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W5" i="23"/>
  <c r="V5" i="23"/>
  <c r="T5" i="23"/>
  <c r="S5" i="23"/>
  <c r="R5" i="23"/>
  <c r="Q5" i="23"/>
  <c r="Q11" i="23" s="1"/>
  <c r="P5" i="23"/>
  <c r="O5" i="23"/>
  <c r="N5" i="23"/>
  <c r="M5" i="23"/>
  <c r="L5" i="23"/>
  <c r="K5" i="23"/>
  <c r="K11" i="23" s="1"/>
  <c r="J5" i="23"/>
  <c r="I5" i="23"/>
  <c r="H5" i="23"/>
  <c r="G5" i="23"/>
  <c r="F5" i="23"/>
  <c r="E5" i="23"/>
  <c r="E11" i="23" s="1"/>
  <c r="M14" i="2" s="1"/>
  <c r="M15" i="2" s="1"/>
  <c r="W4" i="23"/>
  <c r="V4" i="23"/>
  <c r="T4" i="23"/>
  <c r="S4" i="23"/>
  <c r="R4" i="23"/>
  <c r="Q4" i="23"/>
  <c r="P4" i="23"/>
  <c r="N4" i="23"/>
  <c r="M4" i="23"/>
  <c r="L4" i="23"/>
  <c r="L11" i="23" s="1"/>
  <c r="K4" i="23"/>
  <c r="J4" i="23"/>
  <c r="J11" i="23" s="1"/>
  <c r="I4" i="23"/>
  <c r="H4" i="23"/>
  <c r="G4" i="23"/>
  <c r="G11" i="23" s="1"/>
  <c r="F4" i="23"/>
  <c r="E4" i="23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P11" i="19"/>
  <c r="P10" i="19"/>
  <c r="P9" i="19"/>
  <c r="P8" i="19"/>
  <c r="P7" i="19"/>
  <c r="P6" i="19"/>
  <c r="P5" i="19"/>
  <c r="P4" i="19"/>
  <c r="P3" i="19"/>
  <c r="P2" i="19"/>
  <c r="R81" i="18"/>
  <c r="P81" i="18"/>
  <c r="R80" i="18"/>
  <c r="Q80" i="18"/>
  <c r="P80" i="18"/>
  <c r="R79" i="18"/>
  <c r="Q79" i="18"/>
  <c r="P79" i="18"/>
  <c r="S78" i="18"/>
  <c r="R78" i="18"/>
  <c r="P78" i="18"/>
  <c r="R77" i="18"/>
  <c r="P77" i="18"/>
  <c r="I77" i="18"/>
  <c r="T76" i="18"/>
  <c r="R76" i="18"/>
  <c r="P76" i="18"/>
  <c r="R75" i="18"/>
  <c r="Q75" i="18"/>
  <c r="P75" i="18"/>
  <c r="K75" i="18"/>
  <c r="I75" i="18"/>
  <c r="S74" i="18"/>
  <c r="R74" i="18"/>
  <c r="P74" i="18"/>
  <c r="U73" i="18"/>
  <c r="S73" i="18"/>
  <c r="R73" i="18"/>
  <c r="P73" i="18"/>
  <c r="P82" i="18" s="1"/>
  <c r="I73" i="18"/>
  <c r="V72" i="18"/>
  <c r="S72" i="18"/>
  <c r="R72" i="18"/>
  <c r="Q72" i="18"/>
  <c r="P72" i="18"/>
  <c r="I72" i="18"/>
  <c r="R67" i="18"/>
  <c r="P67" i="18"/>
  <c r="T66" i="18"/>
  <c r="T81" i="18" s="1"/>
  <c r="S66" i="18"/>
  <c r="S81" i="18" s="1"/>
  <c r="Q66" i="18"/>
  <c r="Q81" i="18" s="1"/>
  <c r="O66" i="18"/>
  <c r="O81" i="18" s="1"/>
  <c r="T65" i="18"/>
  <c r="T80" i="18" s="1"/>
  <c r="S65" i="18"/>
  <c r="S80" i="18" s="1"/>
  <c r="Q65" i="18"/>
  <c r="O65" i="18"/>
  <c r="O80" i="18" s="1"/>
  <c r="S64" i="18"/>
  <c r="S79" i="18" s="1"/>
  <c r="Q64" i="18"/>
  <c r="N64" i="18"/>
  <c r="N79" i="18" s="1"/>
  <c r="S63" i="18"/>
  <c r="T63" i="18" s="1"/>
  <c r="Q63" i="18"/>
  <c r="Q78" i="18" s="1"/>
  <c r="I63" i="18"/>
  <c r="C63" i="18"/>
  <c r="A63" i="18" s="1"/>
  <c r="T62" i="18"/>
  <c r="S62" i="18"/>
  <c r="S77" i="18" s="1"/>
  <c r="Q62" i="18"/>
  <c r="Q77" i="18" s="1"/>
  <c r="I62" i="18"/>
  <c r="J62" i="18" s="1"/>
  <c r="C62" i="18"/>
  <c r="A62" i="18"/>
  <c r="S61" i="18"/>
  <c r="T61" i="18" s="1"/>
  <c r="Q61" i="18"/>
  <c r="Q76" i="18" s="1"/>
  <c r="J61" i="18"/>
  <c r="I61" i="18"/>
  <c r="I76" i="18" s="1"/>
  <c r="C61" i="18"/>
  <c r="A61" i="18"/>
  <c r="S60" i="18"/>
  <c r="Q60" i="18"/>
  <c r="L60" i="18"/>
  <c r="K60" i="18"/>
  <c r="J60" i="18"/>
  <c r="J75" i="18" s="1"/>
  <c r="I60" i="18"/>
  <c r="C60" i="18"/>
  <c r="A60" i="18" s="1"/>
  <c r="T59" i="18"/>
  <c r="S59" i="18"/>
  <c r="Q59" i="18"/>
  <c r="Q74" i="18" s="1"/>
  <c r="I59" i="18"/>
  <c r="C59" i="18"/>
  <c r="A59" i="18" s="1"/>
  <c r="V58" i="18"/>
  <c r="U58" i="18"/>
  <c r="T58" i="18"/>
  <c r="T73" i="18" s="1"/>
  <c r="S58" i="18"/>
  <c r="Q58" i="18"/>
  <c r="Q73" i="18" s="1"/>
  <c r="K58" i="18"/>
  <c r="J58" i="18"/>
  <c r="J73" i="18" s="1"/>
  <c r="I58" i="18"/>
  <c r="C58" i="18"/>
  <c r="A58" i="18"/>
  <c r="W57" i="18"/>
  <c r="T57" i="18"/>
  <c r="T72" i="18" s="1"/>
  <c r="S57" i="18"/>
  <c r="Q57" i="18"/>
  <c r="Q67" i="18" s="1"/>
  <c r="Q68" i="18" s="1"/>
  <c r="J57" i="18"/>
  <c r="K57" i="18" s="1"/>
  <c r="I57" i="18"/>
  <c r="C57" i="18"/>
  <c r="A57" i="18" s="1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P68" i="18" s="1"/>
  <c r="O33" i="18"/>
  <c r="N33" i="18"/>
  <c r="M33" i="18"/>
  <c r="L33" i="18"/>
  <c r="K33" i="18"/>
  <c r="J33" i="18"/>
  <c r="I33" i="18"/>
  <c r="AD19" i="18"/>
  <c r="AC19" i="18"/>
  <c r="AB19" i="18"/>
  <c r="AA19" i="18"/>
  <c r="Z19" i="18"/>
  <c r="Y19" i="18"/>
  <c r="X19" i="18"/>
  <c r="W19" i="18"/>
  <c r="V19" i="18"/>
  <c r="R19" i="18"/>
  <c r="Q19" i="18"/>
  <c r="U18" i="18"/>
  <c r="U19" i="18" s="1"/>
  <c r="T18" i="18"/>
  <c r="T19" i="18" s="1"/>
  <c r="S18" i="18"/>
  <c r="S19" i="18" s="1"/>
  <c r="R18" i="18"/>
  <c r="Q18" i="18"/>
  <c r="AD17" i="18"/>
  <c r="AC17" i="18"/>
  <c r="AB17" i="18"/>
  <c r="AA17" i="18"/>
  <c r="Z17" i="18"/>
  <c r="Y17" i="18"/>
  <c r="X17" i="18"/>
  <c r="W17" i="18"/>
  <c r="V17" i="18"/>
  <c r="U17" i="18"/>
  <c r="S17" i="18"/>
  <c r="R17" i="18"/>
  <c r="Q17" i="18"/>
  <c r="O17" i="18"/>
  <c r="N17" i="18"/>
  <c r="M17" i="18"/>
  <c r="L17" i="18"/>
  <c r="K17" i="18"/>
  <c r="J17" i="18"/>
  <c r="I17" i="18"/>
  <c r="P14" i="18"/>
  <c r="P17" i="18" s="1"/>
  <c r="V12" i="18"/>
  <c r="U12" i="18"/>
  <c r="T12" i="18"/>
  <c r="T17" i="18" s="1"/>
  <c r="V11" i="18"/>
  <c r="U11" i="18"/>
  <c r="U61" i="18" s="1"/>
  <c r="T11" i="18"/>
  <c r="AA85" i="17"/>
  <c r="Z85" i="17"/>
  <c r="R84" i="17"/>
  <c r="Q84" i="17"/>
  <c r="P84" i="17"/>
  <c r="O84" i="17"/>
  <c r="N84" i="17"/>
  <c r="M84" i="17"/>
  <c r="L84" i="17"/>
  <c r="K84" i="17"/>
  <c r="J84" i="17"/>
  <c r="S83" i="17"/>
  <c r="R83" i="17"/>
  <c r="Q83" i="17"/>
  <c r="P83" i="17"/>
  <c r="O83" i="17"/>
  <c r="N83" i="17"/>
  <c r="M83" i="17"/>
  <c r="L83" i="17"/>
  <c r="K83" i="17"/>
  <c r="J83" i="17"/>
  <c r="S82" i="17"/>
  <c r="R82" i="17"/>
  <c r="Q82" i="17"/>
  <c r="P82" i="17"/>
  <c r="O82" i="17"/>
  <c r="N82" i="17"/>
  <c r="M82" i="17"/>
  <c r="L82" i="17"/>
  <c r="K82" i="17"/>
  <c r="J82" i="17"/>
  <c r="R81" i="17"/>
  <c r="Q81" i="17"/>
  <c r="P81" i="17"/>
  <c r="O81" i="17"/>
  <c r="N81" i="17"/>
  <c r="M81" i="17"/>
  <c r="L81" i="17"/>
  <c r="K81" i="17"/>
  <c r="J81" i="17"/>
  <c r="Q80" i="17"/>
  <c r="P80" i="17"/>
  <c r="O80" i="17"/>
  <c r="N80" i="17"/>
  <c r="M80" i="17"/>
  <c r="L80" i="17"/>
  <c r="K80" i="17"/>
  <c r="J80" i="17"/>
  <c r="Q79" i="17"/>
  <c r="P79" i="17"/>
  <c r="O79" i="17"/>
  <c r="N79" i="17"/>
  <c r="M79" i="17"/>
  <c r="L79" i="17"/>
  <c r="K79" i="17"/>
  <c r="J79" i="17"/>
  <c r="S78" i="17"/>
  <c r="Q78" i="17"/>
  <c r="P78" i="17"/>
  <c r="O78" i="17"/>
  <c r="N78" i="17"/>
  <c r="M78" i="17"/>
  <c r="L78" i="17"/>
  <c r="K78" i="17"/>
  <c r="J78" i="17"/>
  <c r="Q77" i="17"/>
  <c r="P77" i="17"/>
  <c r="O77" i="17"/>
  <c r="N77" i="17"/>
  <c r="M77" i="17"/>
  <c r="L77" i="17"/>
  <c r="K77" i="17"/>
  <c r="J77" i="17"/>
  <c r="S76" i="17"/>
  <c r="R76" i="17"/>
  <c r="Q76" i="17"/>
  <c r="P76" i="17"/>
  <c r="O76" i="17"/>
  <c r="N76" i="17"/>
  <c r="J76" i="17"/>
  <c r="Q75" i="17"/>
  <c r="P75" i="17"/>
  <c r="O75" i="17"/>
  <c r="N75" i="17"/>
  <c r="M75" i="17"/>
  <c r="L75" i="17"/>
  <c r="K75" i="17"/>
  <c r="J75" i="17"/>
  <c r="R74" i="17"/>
  <c r="Q74" i="17"/>
  <c r="P74" i="17"/>
  <c r="O74" i="17"/>
  <c r="N74" i="17"/>
  <c r="M74" i="17"/>
  <c r="L74" i="17"/>
  <c r="K74" i="17"/>
  <c r="J74" i="17"/>
  <c r="Q73" i="17"/>
  <c r="P73" i="17"/>
  <c r="O73" i="17"/>
  <c r="N73" i="17"/>
  <c r="M73" i="17"/>
  <c r="L73" i="17"/>
  <c r="K73" i="17"/>
  <c r="J73" i="17"/>
  <c r="R72" i="17"/>
  <c r="Q72" i="17"/>
  <c r="P72" i="17"/>
  <c r="O72" i="17"/>
  <c r="N72" i="17"/>
  <c r="M72" i="17"/>
  <c r="L72" i="17"/>
  <c r="K72" i="17"/>
  <c r="J72" i="17"/>
  <c r="Q71" i="17"/>
  <c r="P71" i="17"/>
  <c r="O71" i="17"/>
  <c r="N71" i="17"/>
  <c r="M71" i="17"/>
  <c r="L71" i="17"/>
  <c r="K71" i="17"/>
  <c r="J71" i="17"/>
  <c r="Q70" i="17"/>
  <c r="P70" i="17"/>
  <c r="O70" i="17"/>
  <c r="N70" i="17"/>
  <c r="M70" i="17"/>
  <c r="L70" i="17"/>
  <c r="L85" i="17" s="1"/>
  <c r="K70" i="17"/>
  <c r="J70" i="17"/>
  <c r="R69" i="17"/>
  <c r="Q69" i="17"/>
  <c r="P69" i="17"/>
  <c r="O69" i="17"/>
  <c r="N69" i="17"/>
  <c r="M69" i="17"/>
  <c r="L69" i="17"/>
  <c r="K69" i="17"/>
  <c r="J69" i="17"/>
  <c r="J85" i="17" s="1"/>
  <c r="AA65" i="17"/>
  <c r="Z65" i="17"/>
  <c r="Q65" i="17"/>
  <c r="P65" i="17"/>
  <c r="O65" i="17"/>
  <c r="N65" i="17"/>
  <c r="M65" i="17"/>
  <c r="L65" i="17"/>
  <c r="K65" i="17"/>
  <c r="J65" i="17"/>
  <c r="T64" i="17"/>
  <c r="S64" i="17"/>
  <c r="S84" i="17" s="1"/>
  <c r="R64" i="17"/>
  <c r="F64" i="17"/>
  <c r="D64" i="17"/>
  <c r="R63" i="17"/>
  <c r="S63" i="17" s="1"/>
  <c r="T63" i="17" s="1"/>
  <c r="T83" i="17" s="1"/>
  <c r="F63" i="17"/>
  <c r="D63" i="17"/>
  <c r="E63" i="17" s="1"/>
  <c r="T62" i="17"/>
  <c r="S62" i="17"/>
  <c r="R62" i="17"/>
  <c r="F62" i="17"/>
  <c r="D62" i="17"/>
  <c r="U61" i="17"/>
  <c r="T61" i="17"/>
  <c r="T81" i="17" s="1"/>
  <c r="S61" i="17"/>
  <c r="S81" i="17" s="1"/>
  <c r="R61" i="17"/>
  <c r="F61" i="17"/>
  <c r="D61" i="17"/>
  <c r="R60" i="17"/>
  <c r="F60" i="17"/>
  <c r="D60" i="17"/>
  <c r="F59" i="17"/>
  <c r="D59" i="17"/>
  <c r="T58" i="17"/>
  <c r="T78" i="17" s="1"/>
  <c r="R58" i="17"/>
  <c r="S58" i="17" s="1"/>
  <c r="F58" i="17"/>
  <c r="D58" i="17"/>
  <c r="R57" i="17"/>
  <c r="R77" i="17" s="1"/>
  <c r="F57" i="17"/>
  <c r="D57" i="17"/>
  <c r="T56" i="17"/>
  <c r="S56" i="17"/>
  <c r="R56" i="17"/>
  <c r="F56" i="17"/>
  <c r="E56" i="17"/>
  <c r="D56" i="17"/>
  <c r="R55" i="17"/>
  <c r="R75" i="17" s="1"/>
  <c r="E55" i="17"/>
  <c r="F55" i="17" s="1"/>
  <c r="D55" i="17"/>
  <c r="R54" i="17"/>
  <c r="S54" i="17" s="1"/>
  <c r="F54" i="17"/>
  <c r="D54" i="17"/>
  <c r="R53" i="17"/>
  <c r="F53" i="17"/>
  <c r="D53" i="17"/>
  <c r="T52" i="17"/>
  <c r="S52" i="17"/>
  <c r="S72" i="17" s="1"/>
  <c r="R52" i="17"/>
  <c r="F52" i="17"/>
  <c r="D52" i="17"/>
  <c r="T51" i="17"/>
  <c r="R51" i="17"/>
  <c r="S51" i="17" s="1"/>
  <c r="S71" i="17" s="1"/>
  <c r="F51" i="17"/>
  <c r="D51" i="17"/>
  <c r="R50" i="17"/>
  <c r="E50" i="17"/>
  <c r="F50" i="17" s="1"/>
  <c r="D50" i="17"/>
  <c r="T49" i="17"/>
  <c r="S49" i="17"/>
  <c r="S69" i="17" s="1"/>
  <c r="R49" i="17"/>
  <c r="E49" i="17"/>
  <c r="F49" i="17" s="1"/>
  <c r="D49" i="17"/>
  <c r="V46" i="17"/>
  <c r="U46" i="17"/>
  <c r="T46" i="17"/>
  <c r="S46" i="17"/>
  <c r="R46" i="17"/>
  <c r="Q46" i="17"/>
  <c r="P46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L45" i="17"/>
  <c r="J45" i="17"/>
  <c r="M36" i="17"/>
  <c r="L36" i="17"/>
  <c r="L76" i="17" s="1"/>
  <c r="K36" i="17"/>
  <c r="K45" i="17" s="1"/>
  <c r="P25" i="17"/>
  <c r="AA24" i="17"/>
  <c r="AA25" i="17" s="1"/>
  <c r="Z24" i="17"/>
  <c r="Z25" i="17" s="1"/>
  <c r="X24" i="17"/>
  <c r="X25" i="17" s="1"/>
  <c r="P24" i="17"/>
  <c r="O24" i="17"/>
  <c r="O25" i="17" s="1"/>
  <c r="M24" i="17"/>
  <c r="M25" i="17" s="1"/>
  <c r="L24" i="17"/>
  <c r="L25" i="17" s="1"/>
  <c r="K24" i="17"/>
  <c r="K25" i="17" s="1"/>
  <c r="AA23" i="17"/>
  <c r="Z23" i="17"/>
  <c r="Y23" i="17"/>
  <c r="U23" i="17"/>
  <c r="S23" i="17"/>
  <c r="P23" i="17"/>
  <c r="O23" i="17"/>
  <c r="N23" i="17"/>
  <c r="M23" i="17"/>
  <c r="L23" i="17"/>
  <c r="K23" i="17"/>
  <c r="J23" i="17"/>
  <c r="B23" i="17"/>
  <c r="X22" i="17"/>
  <c r="X21" i="17"/>
  <c r="E21" i="17"/>
  <c r="X20" i="17"/>
  <c r="E20" i="17"/>
  <c r="X19" i="17"/>
  <c r="E19" i="17"/>
  <c r="X18" i="17"/>
  <c r="E18" i="17"/>
  <c r="X17" i="17"/>
  <c r="V17" i="17"/>
  <c r="V23" i="17" s="1"/>
  <c r="U17" i="17"/>
  <c r="T17" i="17"/>
  <c r="T23" i="17" s="1"/>
  <c r="R17" i="17"/>
  <c r="R59" i="17" s="1"/>
  <c r="R79" i="17" s="1"/>
  <c r="Q17" i="17"/>
  <c r="Q23" i="17" s="1"/>
  <c r="N17" i="17"/>
  <c r="E17" i="17"/>
  <c r="X16" i="17"/>
  <c r="T16" i="17"/>
  <c r="E16" i="17"/>
  <c r="X15" i="17"/>
  <c r="E15" i="17"/>
  <c r="Y14" i="17"/>
  <c r="E14" i="17"/>
  <c r="X13" i="17"/>
  <c r="W13" i="17"/>
  <c r="E13" i="17"/>
  <c r="X12" i="17"/>
  <c r="E12" i="17"/>
  <c r="X11" i="17"/>
  <c r="W11" i="17"/>
  <c r="T11" i="17"/>
  <c r="S11" i="17"/>
  <c r="R11" i="17"/>
  <c r="E11" i="17"/>
  <c r="X10" i="17"/>
  <c r="E10" i="17"/>
  <c r="X9" i="17"/>
  <c r="E9" i="17"/>
  <c r="X8" i="17"/>
  <c r="E8" i="17"/>
  <c r="X7" i="17"/>
  <c r="E7" i="17"/>
  <c r="S84" i="16"/>
  <c r="R84" i="16"/>
  <c r="Q84" i="16"/>
  <c r="P84" i="16"/>
  <c r="O84" i="16"/>
  <c r="N84" i="16"/>
  <c r="M84" i="16"/>
  <c r="L84" i="16"/>
  <c r="K84" i="16"/>
  <c r="S83" i="16"/>
  <c r="R83" i="16"/>
  <c r="Q83" i="16"/>
  <c r="P83" i="16"/>
  <c r="O83" i="16"/>
  <c r="N83" i="16"/>
  <c r="M83" i="16"/>
  <c r="L83" i="16"/>
  <c r="K83" i="16"/>
  <c r="S82" i="16"/>
  <c r="R82" i="16"/>
  <c r="Q82" i="16"/>
  <c r="P82" i="16"/>
  <c r="O82" i="16"/>
  <c r="N82" i="16"/>
  <c r="M82" i="16"/>
  <c r="L82" i="16"/>
  <c r="K82" i="16"/>
  <c r="T81" i="16"/>
  <c r="S81" i="16"/>
  <c r="R81" i="16"/>
  <c r="Q81" i="16"/>
  <c r="P81" i="16"/>
  <c r="O81" i="16"/>
  <c r="N81" i="16"/>
  <c r="M81" i="16"/>
  <c r="L81" i="16"/>
  <c r="K81" i="16"/>
  <c r="S80" i="16"/>
  <c r="R80" i="16"/>
  <c r="Q80" i="16"/>
  <c r="P80" i="16"/>
  <c r="O80" i="16"/>
  <c r="N80" i="16"/>
  <c r="M80" i="16"/>
  <c r="L80" i="16"/>
  <c r="K80" i="16"/>
  <c r="S79" i="16"/>
  <c r="R79" i="16"/>
  <c r="Q79" i="16"/>
  <c r="P79" i="16"/>
  <c r="O79" i="16"/>
  <c r="N79" i="16"/>
  <c r="M79" i="16"/>
  <c r="L79" i="16"/>
  <c r="K79" i="16"/>
  <c r="S78" i="16"/>
  <c r="R78" i="16"/>
  <c r="Q78" i="16"/>
  <c r="P78" i="16"/>
  <c r="O78" i="16"/>
  <c r="N78" i="16"/>
  <c r="M78" i="16"/>
  <c r="L78" i="16"/>
  <c r="K78" i="16"/>
  <c r="S77" i="16"/>
  <c r="R77" i="16"/>
  <c r="Q77" i="16"/>
  <c r="P77" i="16"/>
  <c r="O77" i="16"/>
  <c r="N77" i="16"/>
  <c r="M77" i="16"/>
  <c r="L77" i="16"/>
  <c r="K77" i="16"/>
  <c r="S76" i="16"/>
  <c r="R76" i="16"/>
  <c r="Q76" i="16"/>
  <c r="P76" i="16"/>
  <c r="O76" i="16"/>
  <c r="N76" i="16"/>
  <c r="M76" i="16"/>
  <c r="K76" i="16"/>
  <c r="S75" i="16"/>
  <c r="R75" i="16"/>
  <c r="Q75" i="16"/>
  <c r="P75" i="16"/>
  <c r="O75" i="16"/>
  <c r="N75" i="16"/>
  <c r="M75" i="16"/>
  <c r="L75" i="16"/>
  <c r="K75" i="16"/>
  <c r="S74" i="16"/>
  <c r="R74" i="16"/>
  <c r="Q74" i="16"/>
  <c r="P74" i="16"/>
  <c r="O74" i="16"/>
  <c r="N74" i="16"/>
  <c r="M74" i="16"/>
  <c r="L74" i="16"/>
  <c r="K74" i="16"/>
  <c r="S73" i="16"/>
  <c r="R73" i="16"/>
  <c r="Q73" i="16"/>
  <c r="P73" i="16"/>
  <c r="O73" i="16"/>
  <c r="N73" i="16"/>
  <c r="M73" i="16"/>
  <c r="L73" i="16"/>
  <c r="K73" i="16"/>
  <c r="S72" i="16"/>
  <c r="R72" i="16"/>
  <c r="Q72" i="16"/>
  <c r="P72" i="16"/>
  <c r="O72" i="16"/>
  <c r="N72" i="16"/>
  <c r="M72" i="16"/>
  <c r="L72" i="16"/>
  <c r="K72" i="16"/>
  <c r="T71" i="16"/>
  <c r="S71" i="16"/>
  <c r="R71" i="16"/>
  <c r="Q71" i="16"/>
  <c r="P71" i="16"/>
  <c r="O71" i="16"/>
  <c r="N71" i="16"/>
  <c r="M71" i="16"/>
  <c r="L71" i="16"/>
  <c r="K71" i="16"/>
  <c r="S70" i="16"/>
  <c r="R70" i="16"/>
  <c r="Q70" i="16"/>
  <c r="P70" i="16"/>
  <c r="O70" i="16"/>
  <c r="N70" i="16"/>
  <c r="M70" i="16"/>
  <c r="L70" i="16"/>
  <c r="K70" i="16"/>
  <c r="S69" i="16"/>
  <c r="S85" i="16" s="1"/>
  <c r="R69" i="16"/>
  <c r="R85" i="16" s="1"/>
  <c r="Q69" i="16"/>
  <c r="P69" i="16"/>
  <c r="P85" i="16" s="1"/>
  <c r="O69" i="16"/>
  <c r="N69" i="16"/>
  <c r="M69" i="16"/>
  <c r="L69" i="16"/>
  <c r="L85" i="16" s="1"/>
  <c r="K69" i="16"/>
  <c r="K85" i="16" s="1"/>
  <c r="S65" i="16"/>
  <c r="R65" i="16"/>
  <c r="Q65" i="16"/>
  <c r="P65" i="16"/>
  <c r="O65" i="16"/>
  <c r="N65" i="16"/>
  <c r="M65" i="16"/>
  <c r="L65" i="16"/>
  <c r="K65" i="16"/>
  <c r="T64" i="16"/>
  <c r="T84" i="16" s="1"/>
  <c r="G64" i="16"/>
  <c r="E64" i="16"/>
  <c r="F64" i="16" s="1"/>
  <c r="T63" i="16"/>
  <c r="T83" i="16" s="1"/>
  <c r="E63" i="16"/>
  <c r="F63" i="16" s="1"/>
  <c r="G63" i="16" s="1"/>
  <c r="T62" i="16"/>
  <c r="T82" i="16" s="1"/>
  <c r="G62" i="16"/>
  <c r="E62" i="16"/>
  <c r="F62" i="16" s="1"/>
  <c r="V61" i="16"/>
  <c r="T61" i="16"/>
  <c r="U61" i="16" s="1"/>
  <c r="U81" i="16" s="1"/>
  <c r="G61" i="16"/>
  <c r="E61" i="16"/>
  <c r="F61" i="16" s="1"/>
  <c r="T60" i="16"/>
  <c r="T80" i="16" s="1"/>
  <c r="E60" i="16"/>
  <c r="F60" i="16" s="1"/>
  <c r="G60" i="16" s="1"/>
  <c r="G59" i="16"/>
  <c r="E59" i="16"/>
  <c r="F59" i="16" s="1"/>
  <c r="T58" i="16"/>
  <c r="T78" i="16" s="1"/>
  <c r="G58" i="16"/>
  <c r="E58" i="16"/>
  <c r="F58" i="16" s="1"/>
  <c r="T57" i="16"/>
  <c r="T77" i="16" s="1"/>
  <c r="E57" i="16"/>
  <c r="F57" i="16" s="1"/>
  <c r="G57" i="16" s="1"/>
  <c r="T56" i="16"/>
  <c r="T76" i="16" s="1"/>
  <c r="G56" i="16"/>
  <c r="E56" i="16"/>
  <c r="F56" i="16" s="1"/>
  <c r="V55" i="16"/>
  <c r="T55" i="16"/>
  <c r="U55" i="16" s="1"/>
  <c r="U75" i="16" s="1"/>
  <c r="G55" i="16"/>
  <c r="E55" i="16"/>
  <c r="F55" i="16" s="1"/>
  <c r="T54" i="16"/>
  <c r="T74" i="16" s="1"/>
  <c r="F54" i="16"/>
  <c r="G54" i="16" s="1"/>
  <c r="E54" i="16"/>
  <c r="E53" i="16"/>
  <c r="F53" i="16" s="1"/>
  <c r="G53" i="16" s="1"/>
  <c r="X52" i="16"/>
  <c r="V52" i="16"/>
  <c r="W52" i="16" s="1"/>
  <c r="W72" i="16" s="1"/>
  <c r="U52" i="16"/>
  <c r="U72" i="16" s="1"/>
  <c r="T52" i="16"/>
  <c r="T72" i="16" s="1"/>
  <c r="F52" i="16"/>
  <c r="G52" i="16" s="1"/>
  <c r="E52" i="16"/>
  <c r="U51" i="16"/>
  <c r="T51" i="16"/>
  <c r="G51" i="16"/>
  <c r="F51" i="16"/>
  <c r="E51" i="16"/>
  <c r="T50" i="16"/>
  <c r="T70" i="16" s="1"/>
  <c r="F50" i="16"/>
  <c r="G50" i="16" s="1"/>
  <c r="E50" i="16"/>
  <c r="U49" i="16"/>
  <c r="U69" i="16" s="1"/>
  <c r="T49" i="16"/>
  <c r="T69" i="16" s="1"/>
  <c r="E49" i="16"/>
  <c r="F49" i="16" s="1"/>
  <c r="G49" i="16" s="1"/>
  <c r="W46" i="16"/>
  <c r="V46" i="16"/>
  <c r="U46" i="16"/>
  <c r="T46" i="16"/>
  <c r="S46" i="16"/>
  <c r="R46" i="16"/>
  <c r="Q46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N36" i="16"/>
  <c r="M36" i="16"/>
  <c r="L36" i="16"/>
  <c r="L76" i="16" s="1"/>
  <c r="AB25" i="16"/>
  <c r="Q25" i="16"/>
  <c r="P25" i="16"/>
  <c r="N25" i="16"/>
  <c r="M25" i="16"/>
  <c r="AB24" i="16"/>
  <c r="Y24" i="16"/>
  <c r="Q24" i="16"/>
  <c r="P24" i="16"/>
  <c r="N24" i="16"/>
  <c r="M24" i="16"/>
  <c r="L24" i="16"/>
  <c r="L25" i="16" s="1"/>
  <c r="AB23" i="16"/>
  <c r="Y23" i="16"/>
  <c r="X23" i="16"/>
  <c r="T23" i="16"/>
  <c r="S23" i="16"/>
  <c r="Q23" i="16"/>
  <c r="P23" i="16"/>
  <c r="N23" i="16"/>
  <c r="M23" i="16"/>
  <c r="L23" i="16"/>
  <c r="K23" i="16"/>
  <c r="Z22" i="16"/>
  <c r="W53" i="23" s="1"/>
  <c r="Z21" i="16"/>
  <c r="W52" i="23" s="1"/>
  <c r="E21" i="16"/>
  <c r="Z20" i="16"/>
  <c r="W51" i="23" s="1"/>
  <c r="E20" i="16"/>
  <c r="Z19" i="16"/>
  <c r="W50" i="23" s="1"/>
  <c r="E19" i="16"/>
  <c r="Z18" i="16"/>
  <c r="W49" i="23" s="1"/>
  <c r="E18" i="16"/>
  <c r="W17" i="16"/>
  <c r="V17" i="16"/>
  <c r="U17" i="16"/>
  <c r="R48" i="23" s="1"/>
  <c r="T17" i="16"/>
  <c r="Q48" i="23" s="1"/>
  <c r="R17" i="16"/>
  <c r="O17" i="16"/>
  <c r="L48" i="23" s="1"/>
  <c r="E17" i="16"/>
  <c r="B17" i="16"/>
  <c r="Z17" i="16" s="1"/>
  <c r="W48" i="23" s="1"/>
  <c r="Z16" i="16"/>
  <c r="W47" i="23" s="1"/>
  <c r="U16" i="16"/>
  <c r="R47" i="23" s="1"/>
  <c r="E16" i="16"/>
  <c r="E15" i="16"/>
  <c r="B15" i="16"/>
  <c r="Z15" i="16" s="1"/>
  <c r="W46" i="23" s="1"/>
  <c r="AA14" i="16"/>
  <c r="AA24" i="16" s="1"/>
  <c r="E14" i="16"/>
  <c r="Z13" i="16"/>
  <c r="W44" i="23" s="1"/>
  <c r="X13" i="16"/>
  <c r="U44" i="23" s="1"/>
  <c r="E13" i="16"/>
  <c r="Z12" i="16"/>
  <c r="W43" i="23" s="1"/>
  <c r="E12" i="16"/>
  <c r="Z11" i="16"/>
  <c r="W42" i="23" s="1"/>
  <c r="X11" i="16"/>
  <c r="U42" i="23" s="1"/>
  <c r="U11" i="16"/>
  <c r="R42" i="23" s="1"/>
  <c r="T11" i="16"/>
  <c r="Q42" i="23" s="1"/>
  <c r="E11" i="16"/>
  <c r="E10" i="16"/>
  <c r="B10" i="16"/>
  <c r="Z10" i="16" s="1"/>
  <c r="W41" i="23" s="1"/>
  <c r="Z9" i="16"/>
  <c r="W40" i="23" s="1"/>
  <c r="E9" i="16"/>
  <c r="Z8" i="16"/>
  <c r="W39" i="23" s="1"/>
  <c r="E8" i="16"/>
  <c r="Z7" i="16"/>
  <c r="W38" i="23" s="1"/>
  <c r="E7" i="16"/>
  <c r="B7" i="16"/>
  <c r="L41" i="15"/>
  <c r="K41" i="15"/>
  <c r="L40" i="15"/>
  <c r="K40" i="15"/>
  <c r="L39" i="15"/>
  <c r="K39" i="15"/>
  <c r="L38" i="15"/>
  <c r="K38" i="15"/>
  <c r="L37" i="15"/>
  <c r="K37" i="15"/>
  <c r="L36" i="15"/>
  <c r="K36" i="15"/>
  <c r="L35" i="15"/>
  <c r="K35" i="15"/>
  <c r="L34" i="15"/>
  <c r="K34" i="15"/>
  <c r="L33" i="15"/>
  <c r="K33" i="15"/>
  <c r="L32" i="15"/>
  <c r="K32" i="15"/>
  <c r="L31" i="15"/>
  <c r="K31" i="15"/>
  <c r="L30" i="15"/>
  <c r="K30" i="15"/>
  <c r="L29" i="15"/>
  <c r="K29" i="15"/>
  <c r="L28" i="15"/>
  <c r="K28" i="15"/>
  <c r="L27" i="15"/>
  <c r="K27" i="15"/>
  <c r="L26" i="15"/>
  <c r="K26" i="15"/>
  <c r="K42" i="15" s="1"/>
  <c r="L23" i="15"/>
  <c r="K22" i="15"/>
  <c r="M22" i="15" s="1"/>
  <c r="K21" i="15"/>
  <c r="M21" i="15" s="1"/>
  <c r="M20" i="15"/>
  <c r="K20" i="15"/>
  <c r="M19" i="15"/>
  <c r="K19" i="15"/>
  <c r="M18" i="15"/>
  <c r="K18" i="15"/>
  <c r="M17" i="15"/>
  <c r="K17" i="15"/>
  <c r="K16" i="15"/>
  <c r="M16" i="15" s="1"/>
  <c r="K15" i="15"/>
  <c r="M15" i="15" s="1"/>
  <c r="M14" i="15"/>
  <c r="K14" i="15"/>
  <c r="M13" i="15"/>
  <c r="K13" i="15"/>
  <c r="M12" i="15"/>
  <c r="K12" i="15"/>
  <c r="M11" i="15"/>
  <c r="K11" i="15"/>
  <c r="K10" i="15"/>
  <c r="M10" i="15" s="1"/>
  <c r="K9" i="15"/>
  <c r="M9" i="15" s="1"/>
  <c r="M8" i="15"/>
  <c r="K8" i="15"/>
  <c r="K7" i="15"/>
  <c r="M7" i="15" s="1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K44" i="13"/>
  <c r="J44" i="13"/>
  <c r="I44" i="13"/>
  <c r="M43" i="13"/>
  <c r="L43" i="13"/>
  <c r="K43" i="13"/>
  <c r="J43" i="13"/>
  <c r="I43" i="13"/>
  <c r="K42" i="13"/>
  <c r="J42" i="13"/>
  <c r="I42" i="13"/>
  <c r="K41" i="13"/>
  <c r="J41" i="13"/>
  <c r="I41" i="13"/>
  <c r="K40" i="13"/>
  <c r="J40" i="13"/>
  <c r="J45" i="13" s="1"/>
  <c r="I40" i="13"/>
  <c r="K39" i="13"/>
  <c r="J39" i="13"/>
  <c r="I39" i="13"/>
  <c r="K35" i="13"/>
  <c r="J35" i="13"/>
  <c r="I35" i="13"/>
  <c r="A35" i="13"/>
  <c r="L34" i="13"/>
  <c r="L44" i="13" s="1"/>
  <c r="B34" i="13"/>
  <c r="L33" i="13"/>
  <c r="M33" i="13" s="1"/>
  <c r="N33" i="13" s="1"/>
  <c r="O33" i="13" s="1"/>
  <c r="B33" i="13"/>
  <c r="B32" i="13"/>
  <c r="L31" i="13"/>
  <c r="B31" i="13"/>
  <c r="M30" i="13"/>
  <c r="L30" i="13"/>
  <c r="L40" i="13" s="1"/>
  <c r="B30" i="13"/>
  <c r="L29" i="13"/>
  <c r="B29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AC19" i="13"/>
  <c r="AB19" i="13"/>
  <c r="AA19" i="13"/>
  <c r="AC18" i="13"/>
  <c r="AB18" i="13"/>
  <c r="AA18" i="13"/>
  <c r="AC17" i="13"/>
  <c r="AB17" i="13"/>
  <c r="AA17" i="13"/>
  <c r="AC16" i="13"/>
  <c r="AB16" i="13"/>
  <c r="AA16" i="13"/>
  <c r="AC15" i="13"/>
  <c r="AB15" i="13"/>
  <c r="AA15" i="13"/>
  <c r="W15" i="13"/>
  <c r="V15" i="13"/>
  <c r="U15" i="13"/>
  <c r="T15" i="13"/>
  <c r="S15" i="13"/>
  <c r="R15" i="13"/>
  <c r="K15" i="13"/>
  <c r="J15" i="13"/>
  <c r="I15" i="13"/>
  <c r="AC14" i="13"/>
  <c r="AB14" i="13"/>
  <c r="AA14" i="13"/>
  <c r="W14" i="13"/>
  <c r="V14" i="13"/>
  <c r="U14" i="13"/>
  <c r="T14" i="13"/>
  <c r="S14" i="13"/>
  <c r="R14" i="13"/>
  <c r="Q14" i="13"/>
  <c r="Q15" i="13" s="1"/>
  <c r="P14" i="13"/>
  <c r="P15" i="13" s="1"/>
  <c r="O14" i="13"/>
  <c r="O15" i="13" s="1"/>
  <c r="N14" i="13"/>
  <c r="N15" i="13" s="1"/>
  <c r="M14" i="13"/>
  <c r="M15" i="13" s="1"/>
  <c r="L14" i="13"/>
  <c r="L15" i="13" s="1"/>
  <c r="K14" i="13"/>
  <c r="J14" i="13"/>
  <c r="I14" i="13"/>
  <c r="W13" i="13"/>
  <c r="V13" i="13"/>
  <c r="U13" i="13"/>
  <c r="T13" i="13"/>
  <c r="S13" i="13"/>
  <c r="R13" i="13"/>
  <c r="Q13" i="13"/>
  <c r="P13" i="13"/>
  <c r="O13" i="13"/>
  <c r="J13" i="13"/>
  <c r="I13" i="13"/>
  <c r="Z12" i="13"/>
  <c r="N12" i="13"/>
  <c r="M12" i="13"/>
  <c r="M34" i="13" s="1"/>
  <c r="Z11" i="13"/>
  <c r="R11" i="13"/>
  <c r="N11" i="13"/>
  <c r="M11" i="13"/>
  <c r="L11" i="13"/>
  <c r="K11" i="13"/>
  <c r="Z10" i="13"/>
  <c r="R10" i="13"/>
  <c r="O10" i="13"/>
  <c r="N10" i="13"/>
  <c r="N13" i="13" s="1"/>
  <c r="M10" i="13"/>
  <c r="L10" i="13"/>
  <c r="L32" i="13" s="1"/>
  <c r="Z9" i="13"/>
  <c r="Z8" i="13"/>
  <c r="R8" i="13"/>
  <c r="L8" i="13"/>
  <c r="K8" i="13"/>
  <c r="K13" i="13" s="1"/>
  <c r="Z7" i="13"/>
  <c r="R7" i="13"/>
  <c r="L7" i="13"/>
  <c r="H28" i="12"/>
  <c r="F28" i="12"/>
  <c r="E28" i="12"/>
  <c r="D28" i="12"/>
  <c r="I27" i="12"/>
  <c r="G27" i="12"/>
  <c r="G26" i="12"/>
  <c r="I26" i="12" s="1"/>
  <c r="G25" i="12"/>
  <c r="I25" i="12" s="1"/>
  <c r="G24" i="12"/>
  <c r="I24" i="12" s="1"/>
  <c r="G23" i="12"/>
  <c r="I23" i="12" s="1"/>
  <c r="I22" i="12"/>
  <c r="G22" i="12"/>
  <c r="J19" i="12"/>
  <c r="H19" i="12"/>
  <c r="G19" i="12"/>
  <c r="F19" i="12"/>
  <c r="E19" i="12"/>
  <c r="D19" i="12"/>
  <c r="I18" i="12"/>
  <c r="K18" i="12" s="1"/>
  <c r="I17" i="12"/>
  <c r="K17" i="12" s="1"/>
  <c r="K16" i="12"/>
  <c r="I16" i="12"/>
  <c r="U15" i="12"/>
  <c r="K15" i="12"/>
  <c r="I15" i="12"/>
  <c r="K14" i="12"/>
  <c r="I14" i="12"/>
  <c r="I13" i="12"/>
  <c r="W9" i="12"/>
  <c r="U9" i="12"/>
  <c r="S9" i="12"/>
  <c r="R9" i="12"/>
  <c r="O9" i="12"/>
  <c r="N9" i="12"/>
  <c r="L9" i="12"/>
  <c r="K9" i="12"/>
  <c r="J9" i="12"/>
  <c r="I9" i="12"/>
  <c r="H9" i="12"/>
  <c r="G9" i="12"/>
  <c r="F9" i="12"/>
  <c r="E9" i="12"/>
  <c r="V8" i="12"/>
  <c r="X8" i="12" s="1"/>
  <c r="Q8" i="12"/>
  <c r="Q9" i="12" s="1"/>
  <c r="P7" i="12"/>
  <c r="P9" i="12" s="1"/>
  <c r="X6" i="12"/>
  <c r="V6" i="12"/>
  <c r="M6" i="12"/>
  <c r="T5" i="12"/>
  <c r="T9" i="12" s="1"/>
  <c r="M4" i="12"/>
  <c r="D4" i="12"/>
  <c r="V3" i="12"/>
  <c r="M3" i="12"/>
  <c r="M9" i="12" s="1"/>
  <c r="T86" i="11"/>
  <c r="S86" i="11"/>
  <c r="R86" i="11"/>
  <c r="Q86" i="11"/>
  <c r="P86" i="11"/>
  <c r="O86" i="11"/>
  <c r="T85" i="11"/>
  <c r="S85" i="11"/>
  <c r="R85" i="11"/>
  <c r="Q85" i="11"/>
  <c r="P85" i="11"/>
  <c r="O85" i="11"/>
  <c r="T84" i="11"/>
  <c r="S84" i="11"/>
  <c r="R84" i="11"/>
  <c r="Q84" i="11"/>
  <c r="P84" i="11"/>
  <c r="O84" i="11"/>
  <c r="T83" i="11"/>
  <c r="S83" i="11"/>
  <c r="R83" i="11"/>
  <c r="Q83" i="11"/>
  <c r="P83" i="11"/>
  <c r="O83" i="11"/>
  <c r="T82" i="11"/>
  <c r="S82" i="11"/>
  <c r="R82" i="11"/>
  <c r="Q82" i="11"/>
  <c r="P82" i="11"/>
  <c r="O82" i="11"/>
  <c r="N82" i="11"/>
  <c r="M82" i="11"/>
  <c r="L82" i="11"/>
  <c r="K82" i="11"/>
  <c r="T81" i="11"/>
  <c r="S81" i="11"/>
  <c r="R81" i="11"/>
  <c r="Q81" i="11"/>
  <c r="P81" i="11"/>
  <c r="O81" i="11"/>
  <c r="N81" i="11"/>
  <c r="M81" i="11"/>
  <c r="L81" i="11"/>
  <c r="K81" i="11"/>
  <c r="T80" i="11"/>
  <c r="S80" i="11"/>
  <c r="R80" i="11"/>
  <c r="Q80" i="11"/>
  <c r="P80" i="11"/>
  <c r="O80" i="11"/>
  <c r="N80" i="11"/>
  <c r="M80" i="11"/>
  <c r="L80" i="11"/>
  <c r="K80" i="11"/>
  <c r="T79" i="11"/>
  <c r="S79" i="11"/>
  <c r="R79" i="11"/>
  <c r="Q79" i="11"/>
  <c r="P79" i="11"/>
  <c r="O79" i="11"/>
  <c r="N79" i="11"/>
  <c r="M79" i="11"/>
  <c r="L79" i="11"/>
  <c r="K79" i="11"/>
  <c r="T78" i="11"/>
  <c r="S78" i="11"/>
  <c r="R78" i="11"/>
  <c r="Q78" i="11"/>
  <c r="P78" i="11"/>
  <c r="O78" i="11"/>
  <c r="N78" i="11"/>
  <c r="M78" i="11"/>
  <c r="L78" i="11"/>
  <c r="K78" i="11"/>
  <c r="T77" i="11"/>
  <c r="S77" i="11"/>
  <c r="R77" i="11"/>
  <c r="R87" i="11" s="1"/>
  <c r="Q77" i="11"/>
  <c r="P77" i="11"/>
  <c r="O77" i="11"/>
  <c r="N77" i="11"/>
  <c r="M77" i="11"/>
  <c r="L77" i="11"/>
  <c r="K77" i="11"/>
  <c r="T76" i="11"/>
  <c r="S76" i="11"/>
  <c r="R76" i="11"/>
  <c r="Q76" i="11"/>
  <c r="Q87" i="11" s="1"/>
  <c r="P76" i="11"/>
  <c r="O76" i="11"/>
  <c r="N76" i="11"/>
  <c r="M76" i="11"/>
  <c r="L76" i="11"/>
  <c r="K76" i="11"/>
  <c r="T75" i="11"/>
  <c r="S75" i="11"/>
  <c r="R75" i="11"/>
  <c r="Q75" i="11"/>
  <c r="P75" i="11"/>
  <c r="O75" i="11"/>
  <c r="N75" i="11"/>
  <c r="M75" i="11"/>
  <c r="L75" i="11"/>
  <c r="K75" i="11"/>
  <c r="T74" i="11"/>
  <c r="S74" i="11"/>
  <c r="R74" i="11"/>
  <c r="Q74" i="11"/>
  <c r="P74" i="11"/>
  <c r="O74" i="11"/>
  <c r="N74" i="11"/>
  <c r="M74" i="11"/>
  <c r="L74" i="11"/>
  <c r="K74" i="11"/>
  <c r="T73" i="11"/>
  <c r="S73" i="11"/>
  <c r="R73" i="11"/>
  <c r="Q73" i="11"/>
  <c r="P73" i="11"/>
  <c r="O73" i="11"/>
  <c r="N73" i="11"/>
  <c r="M73" i="11"/>
  <c r="L73" i="11"/>
  <c r="K73" i="11"/>
  <c r="T72" i="11"/>
  <c r="S72" i="11"/>
  <c r="R72" i="11"/>
  <c r="Q72" i="11"/>
  <c r="P72" i="11"/>
  <c r="O72" i="11"/>
  <c r="N72" i="11"/>
  <c r="M72" i="11"/>
  <c r="L72" i="11"/>
  <c r="K72" i="11"/>
  <c r="T71" i="11"/>
  <c r="S71" i="11"/>
  <c r="R71" i="11"/>
  <c r="Q71" i="11"/>
  <c r="N71" i="11"/>
  <c r="N87" i="11" s="1"/>
  <c r="M71" i="11"/>
  <c r="L71" i="11"/>
  <c r="L87" i="11" s="1"/>
  <c r="K71" i="11"/>
  <c r="T67" i="11"/>
  <c r="S67" i="11"/>
  <c r="R67" i="11"/>
  <c r="Q67" i="11"/>
  <c r="N67" i="11"/>
  <c r="M67" i="11"/>
  <c r="L67" i="11"/>
  <c r="K67" i="11"/>
  <c r="V66" i="11"/>
  <c r="V86" i="11" s="1"/>
  <c r="U66" i="11"/>
  <c r="U86" i="11" s="1"/>
  <c r="D66" i="11"/>
  <c r="V65" i="11"/>
  <c r="W65" i="11" s="1"/>
  <c r="U65" i="11"/>
  <c r="U85" i="11" s="1"/>
  <c r="D65" i="11"/>
  <c r="V64" i="11"/>
  <c r="U64" i="11"/>
  <c r="U84" i="11" s="1"/>
  <c r="D64" i="11"/>
  <c r="V63" i="11"/>
  <c r="U63" i="11"/>
  <c r="U83" i="11" s="1"/>
  <c r="D63" i="11"/>
  <c r="U62" i="11"/>
  <c r="V62" i="11" s="1"/>
  <c r="D62" i="11"/>
  <c r="V61" i="11"/>
  <c r="U61" i="11"/>
  <c r="U81" i="11" s="1"/>
  <c r="D61" i="11"/>
  <c r="U60" i="11"/>
  <c r="D60" i="11"/>
  <c r="V59" i="11"/>
  <c r="U59" i="11"/>
  <c r="U79" i="11" s="1"/>
  <c r="D59" i="11"/>
  <c r="U58" i="11"/>
  <c r="D58" i="11"/>
  <c r="V57" i="11"/>
  <c r="U57" i="11"/>
  <c r="U77" i="11" s="1"/>
  <c r="D57" i="11"/>
  <c r="U56" i="11"/>
  <c r="D56" i="11"/>
  <c r="U55" i="11"/>
  <c r="D55" i="11"/>
  <c r="U54" i="11"/>
  <c r="D54" i="11"/>
  <c r="U53" i="11"/>
  <c r="D53" i="11"/>
  <c r="U52" i="11"/>
  <c r="D52" i="11"/>
  <c r="U51" i="11"/>
  <c r="P51" i="11"/>
  <c r="O51" i="11"/>
  <c r="D51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AE27" i="11"/>
  <c r="AE26" i="11"/>
  <c r="AD26" i="11"/>
  <c r="AD27" i="11" s="1"/>
  <c r="W26" i="11"/>
  <c r="W27" i="11" s="1"/>
  <c r="R26" i="11"/>
  <c r="R27" i="11" s="1"/>
  <c r="AE25" i="11"/>
  <c r="AD25" i="11"/>
  <c r="AC25" i="11"/>
  <c r="AB25" i="11"/>
  <c r="AA25" i="11"/>
  <c r="Y25" i="11"/>
  <c r="W25" i="11"/>
  <c r="U25" i="11"/>
  <c r="T25" i="11"/>
  <c r="S25" i="11"/>
  <c r="R25" i="11"/>
  <c r="Q25" i="11"/>
  <c r="P25" i="11"/>
  <c r="O25" i="11"/>
  <c r="N25" i="11"/>
  <c r="M25" i="11"/>
  <c r="L25" i="11"/>
  <c r="K25" i="11"/>
  <c r="Z20" i="11"/>
  <c r="T29" i="23" s="1"/>
  <c r="G20" i="11"/>
  <c r="Z19" i="11"/>
  <c r="T28" i="23" s="1"/>
  <c r="G18" i="11"/>
  <c r="Z17" i="11"/>
  <c r="T26" i="23" s="1"/>
  <c r="G17" i="11"/>
  <c r="Z16" i="11"/>
  <c r="T25" i="23" s="1"/>
  <c r="G16" i="11"/>
  <c r="Z15" i="11"/>
  <c r="Z14" i="11"/>
  <c r="T23" i="23" s="1"/>
  <c r="E14" i="11"/>
  <c r="D14" i="11"/>
  <c r="Z13" i="11"/>
  <c r="S13" i="11"/>
  <c r="M22" i="23" s="1"/>
  <c r="Z12" i="11"/>
  <c r="T21" i="23" s="1"/>
  <c r="G11" i="11"/>
  <c r="Z10" i="11"/>
  <c r="X10" i="11"/>
  <c r="R19" i="23" s="1"/>
  <c r="Z9" i="11"/>
  <c r="T18" i="23" s="1"/>
  <c r="V9" i="11"/>
  <c r="G9" i="11"/>
  <c r="G8" i="11"/>
  <c r="Z7" i="11"/>
  <c r="T16" i="23" s="1"/>
  <c r="Z6" i="11"/>
  <c r="T15" i="23" s="1"/>
  <c r="D6" i="11"/>
  <c r="E6" i="11" s="1"/>
  <c r="V83" i="10"/>
  <c r="U83" i="10"/>
  <c r="T83" i="10"/>
  <c r="S83" i="10"/>
  <c r="R83" i="10"/>
  <c r="Q83" i="10"/>
  <c r="P83" i="10"/>
  <c r="V82" i="10"/>
  <c r="U82" i="10"/>
  <c r="T82" i="10"/>
  <c r="S82" i="10"/>
  <c r="R82" i="10"/>
  <c r="Q82" i="10"/>
  <c r="P82" i="10"/>
  <c r="W81" i="10"/>
  <c r="V81" i="10"/>
  <c r="U81" i="10"/>
  <c r="T81" i="10"/>
  <c r="S81" i="10"/>
  <c r="R81" i="10"/>
  <c r="Q81" i="10"/>
  <c r="P81" i="10"/>
  <c r="V80" i="10"/>
  <c r="U80" i="10"/>
  <c r="T80" i="10"/>
  <c r="S80" i="10"/>
  <c r="R80" i="10"/>
  <c r="Q80" i="10"/>
  <c r="P80" i="10"/>
  <c r="V79" i="10"/>
  <c r="U79" i="10"/>
  <c r="T79" i="10"/>
  <c r="S79" i="10"/>
  <c r="R79" i="10"/>
  <c r="Q79" i="10"/>
  <c r="P79" i="10"/>
  <c r="O79" i="10"/>
  <c r="N79" i="10"/>
  <c r="M79" i="10"/>
  <c r="L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V77" i="10"/>
  <c r="U77" i="10"/>
  <c r="T77" i="10"/>
  <c r="S77" i="10"/>
  <c r="R77" i="10"/>
  <c r="Q77" i="10"/>
  <c r="P77" i="10"/>
  <c r="O77" i="10"/>
  <c r="N77" i="10"/>
  <c r="M77" i="10"/>
  <c r="L77" i="10"/>
  <c r="V76" i="10"/>
  <c r="U76" i="10"/>
  <c r="T76" i="10"/>
  <c r="S76" i="10"/>
  <c r="R76" i="10"/>
  <c r="Q76" i="10"/>
  <c r="P76" i="10"/>
  <c r="O76" i="10"/>
  <c r="N76" i="10"/>
  <c r="M76" i="10"/>
  <c r="L76" i="10"/>
  <c r="V75" i="10"/>
  <c r="U75" i="10"/>
  <c r="T75" i="10"/>
  <c r="S75" i="10"/>
  <c r="R75" i="10"/>
  <c r="Q75" i="10"/>
  <c r="P75" i="10"/>
  <c r="O75" i="10"/>
  <c r="N75" i="10"/>
  <c r="M75" i="10"/>
  <c r="L75" i="10"/>
  <c r="V74" i="10"/>
  <c r="U74" i="10"/>
  <c r="T74" i="10"/>
  <c r="S74" i="10"/>
  <c r="R74" i="10"/>
  <c r="Q74" i="10"/>
  <c r="P74" i="10"/>
  <c r="O74" i="10"/>
  <c r="N74" i="10"/>
  <c r="M74" i="10"/>
  <c r="L74" i="10"/>
  <c r="V73" i="10"/>
  <c r="U73" i="10"/>
  <c r="T73" i="10"/>
  <c r="S73" i="10"/>
  <c r="R73" i="10"/>
  <c r="Q73" i="10"/>
  <c r="P73" i="10"/>
  <c r="O73" i="10"/>
  <c r="N73" i="10"/>
  <c r="M73" i="10"/>
  <c r="L73" i="10"/>
  <c r="V72" i="10"/>
  <c r="U72" i="10"/>
  <c r="T72" i="10"/>
  <c r="S72" i="10"/>
  <c r="R72" i="10"/>
  <c r="Q72" i="10"/>
  <c r="P72" i="10"/>
  <c r="O72" i="10"/>
  <c r="N72" i="10"/>
  <c r="M72" i="10"/>
  <c r="L72" i="10"/>
  <c r="V71" i="10"/>
  <c r="V84" i="10" s="1"/>
  <c r="U71" i="10"/>
  <c r="T71" i="10"/>
  <c r="S71" i="10"/>
  <c r="R71" i="10"/>
  <c r="Q71" i="10"/>
  <c r="P71" i="10"/>
  <c r="O71" i="10"/>
  <c r="N71" i="10"/>
  <c r="M71" i="10"/>
  <c r="L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V69" i="10"/>
  <c r="U69" i="10"/>
  <c r="U84" i="10" s="1"/>
  <c r="T69" i="10"/>
  <c r="S69" i="10"/>
  <c r="R69" i="10"/>
  <c r="Q69" i="10"/>
  <c r="P69" i="10"/>
  <c r="O69" i="10"/>
  <c r="O84" i="10" s="1"/>
  <c r="N69" i="10"/>
  <c r="N84" i="10" s="1"/>
  <c r="M69" i="10"/>
  <c r="L69" i="10"/>
  <c r="V68" i="10"/>
  <c r="U68" i="10"/>
  <c r="T68" i="10"/>
  <c r="T84" i="10" s="1"/>
  <c r="S68" i="10"/>
  <c r="S84" i="10" s="1"/>
  <c r="R68" i="10"/>
  <c r="R84" i="10" s="1"/>
  <c r="Q68" i="10"/>
  <c r="O68" i="10"/>
  <c r="N68" i="10"/>
  <c r="M68" i="10"/>
  <c r="L68" i="10"/>
  <c r="V64" i="10"/>
  <c r="U64" i="10"/>
  <c r="T64" i="10"/>
  <c r="S64" i="10"/>
  <c r="R64" i="10"/>
  <c r="Q64" i="10"/>
  <c r="O64" i="10"/>
  <c r="N64" i="10"/>
  <c r="M64" i="10"/>
  <c r="L64" i="10"/>
  <c r="X63" i="10"/>
  <c r="Y63" i="10" s="1"/>
  <c r="Z63" i="10" s="1"/>
  <c r="AA63" i="10" s="1"/>
  <c r="W63" i="10"/>
  <c r="W83" i="10" s="1"/>
  <c r="D63" i="10"/>
  <c r="E63" i="10" s="1"/>
  <c r="W62" i="10"/>
  <c r="X62" i="10" s="1"/>
  <c r="D62" i="10"/>
  <c r="E62" i="10" s="1"/>
  <c r="X61" i="10"/>
  <c r="Y61" i="10" s="1"/>
  <c r="W61" i="10"/>
  <c r="D61" i="10"/>
  <c r="E61" i="10" s="1"/>
  <c r="W60" i="10"/>
  <c r="W80" i="10" s="1"/>
  <c r="D60" i="10"/>
  <c r="E60" i="10" s="1"/>
  <c r="X59" i="10"/>
  <c r="W59" i="10"/>
  <c r="W79" i="10" s="1"/>
  <c r="D59" i="10"/>
  <c r="E59" i="10" s="1"/>
  <c r="W58" i="10"/>
  <c r="X58" i="10" s="1"/>
  <c r="D58" i="10"/>
  <c r="E58" i="10" s="1"/>
  <c r="X57" i="10"/>
  <c r="W57" i="10"/>
  <c r="W77" i="10" s="1"/>
  <c r="D57" i="10"/>
  <c r="E57" i="10" s="1"/>
  <c r="W56" i="10"/>
  <c r="X56" i="10" s="1"/>
  <c r="D56" i="10"/>
  <c r="E56" i="10" s="1"/>
  <c r="X55" i="10"/>
  <c r="W55" i="10"/>
  <c r="W75" i="10" s="1"/>
  <c r="D55" i="10"/>
  <c r="E55" i="10" s="1"/>
  <c r="W54" i="10"/>
  <c r="X54" i="10" s="1"/>
  <c r="D54" i="10"/>
  <c r="E54" i="10" s="1"/>
  <c r="X53" i="10"/>
  <c r="W53" i="10"/>
  <c r="W73" i="10" s="1"/>
  <c r="D53" i="10"/>
  <c r="E53" i="10" s="1"/>
  <c r="W52" i="10"/>
  <c r="X52" i="10" s="1"/>
  <c r="D52" i="10"/>
  <c r="E52" i="10" s="1"/>
  <c r="X51" i="10"/>
  <c r="W51" i="10"/>
  <c r="W71" i="10" s="1"/>
  <c r="D51" i="10"/>
  <c r="E51" i="10" s="1"/>
  <c r="W50" i="10"/>
  <c r="X50" i="10" s="1"/>
  <c r="D50" i="10"/>
  <c r="E50" i="10" s="1"/>
  <c r="X49" i="10"/>
  <c r="W49" i="10"/>
  <c r="W69" i="10" s="1"/>
  <c r="D49" i="10"/>
  <c r="E49" i="10" s="1"/>
  <c r="W48" i="10"/>
  <c r="W68" i="10" s="1"/>
  <c r="Q48" i="10"/>
  <c r="P48" i="10"/>
  <c r="P68" i="10" s="1"/>
  <c r="P84" i="10" s="1"/>
  <c r="D48" i="10"/>
  <c r="E48" i="10" s="1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AF23" i="10"/>
  <c r="AF24" i="10" s="1"/>
  <c r="AE23" i="10"/>
  <c r="AE24" i="10" s="1"/>
  <c r="X23" i="10"/>
  <c r="X24" i="10" s="1"/>
  <c r="S23" i="10"/>
  <c r="S24" i="10" s="1"/>
  <c r="AF22" i="10"/>
  <c r="AE22" i="10"/>
  <c r="AD22" i="10"/>
  <c r="AC22" i="10"/>
  <c r="AA22" i="10"/>
  <c r="Z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AB17" i="10"/>
  <c r="AB22" i="10" s="1"/>
  <c r="H17" i="10"/>
  <c r="F17" i="10"/>
  <c r="AB16" i="10"/>
  <c r="H16" i="10"/>
  <c r="F16" i="10"/>
  <c r="AB15" i="10"/>
  <c r="H15" i="10" s="1"/>
  <c r="F15" i="10"/>
  <c r="AB14" i="10"/>
  <c r="H14" i="10" s="1"/>
  <c r="F14" i="10"/>
  <c r="AB13" i="10"/>
  <c r="H13" i="10"/>
  <c r="F13" i="10"/>
  <c r="AB12" i="10"/>
  <c r="H12" i="10"/>
  <c r="F12" i="10"/>
  <c r="D12" i="10"/>
  <c r="E12" i="10" s="1"/>
  <c r="T11" i="10"/>
  <c r="H11" i="10"/>
  <c r="F11" i="10"/>
  <c r="H10" i="10"/>
  <c r="F10" i="10"/>
  <c r="Y9" i="10"/>
  <c r="Y22" i="10" s="1"/>
  <c r="H9" i="10"/>
  <c r="F9" i="10"/>
  <c r="W8" i="10"/>
  <c r="H8" i="10"/>
  <c r="F8" i="10"/>
  <c r="H7" i="10"/>
  <c r="F7" i="10"/>
  <c r="H6" i="10"/>
  <c r="F6" i="10"/>
  <c r="E6" i="10"/>
  <c r="D6" i="10"/>
  <c r="V84" i="9"/>
  <c r="U84" i="9"/>
  <c r="V83" i="9"/>
  <c r="U83" i="9"/>
  <c r="T83" i="9"/>
  <c r="S83" i="9"/>
  <c r="R83" i="9"/>
  <c r="Q83" i="9"/>
  <c r="P83" i="9"/>
  <c r="V82" i="9"/>
  <c r="U82" i="9"/>
  <c r="T82" i="9"/>
  <c r="S82" i="9"/>
  <c r="R82" i="9"/>
  <c r="Q82" i="9"/>
  <c r="P82" i="9"/>
  <c r="V81" i="9"/>
  <c r="U81" i="9"/>
  <c r="T81" i="9"/>
  <c r="S81" i="9"/>
  <c r="R81" i="9"/>
  <c r="Q81" i="9"/>
  <c r="P81" i="9"/>
  <c r="V80" i="9"/>
  <c r="U80" i="9"/>
  <c r="T80" i="9"/>
  <c r="S80" i="9"/>
  <c r="R80" i="9"/>
  <c r="Q80" i="9"/>
  <c r="P80" i="9"/>
  <c r="V79" i="9"/>
  <c r="U79" i="9"/>
  <c r="T79" i="9"/>
  <c r="S79" i="9"/>
  <c r="R79" i="9"/>
  <c r="Q79" i="9"/>
  <c r="P79" i="9"/>
  <c r="O79" i="9"/>
  <c r="N79" i="9"/>
  <c r="M79" i="9"/>
  <c r="L79" i="9"/>
  <c r="V78" i="9"/>
  <c r="U78" i="9"/>
  <c r="T78" i="9"/>
  <c r="S78" i="9"/>
  <c r="R78" i="9"/>
  <c r="Q78" i="9"/>
  <c r="P78" i="9"/>
  <c r="O78" i="9"/>
  <c r="N78" i="9"/>
  <c r="M78" i="9"/>
  <c r="L78" i="9"/>
  <c r="V77" i="9"/>
  <c r="U77" i="9"/>
  <c r="T77" i="9"/>
  <c r="S77" i="9"/>
  <c r="R77" i="9"/>
  <c r="Q77" i="9"/>
  <c r="P77" i="9"/>
  <c r="O77" i="9"/>
  <c r="N77" i="9"/>
  <c r="M77" i="9"/>
  <c r="L77" i="9"/>
  <c r="W76" i="9"/>
  <c r="V76" i="9"/>
  <c r="U76" i="9"/>
  <c r="T76" i="9"/>
  <c r="S76" i="9"/>
  <c r="R76" i="9"/>
  <c r="Q76" i="9"/>
  <c r="P76" i="9"/>
  <c r="O76" i="9"/>
  <c r="N76" i="9"/>
  <c r="M76" i="9"/>
  <c r="L76" i="9"/>
  <c r="V75" i="9"/>
  <c r="U75" i="9"/>
  <c r="T75" i="9"/>
  <c r="S75" i="9"/>
  <c r="R75" i="9"/>
  <c r="Q75" i="9"/>
  <c r="P75" i="9"/>
  <c r="O75" i="9"/>
  <c r="N75" i="9"/>
  <c r="M75" i="9"/>
  <c r="L75" i="9"/>
  <c r="V74" i="9"/>
  <c r="U74" i="9"/>
  <c r="T74" i="9"/>
  <c r="S74" i="9"/>
  <c r="R74" i="9"/>
  <c r="Q74" i="9"/>
  <c r="P74" i="9"/>
  <c r="O74" i="9"/>
  <c r="N74" i="9"/>
  <c r="M74" i="9"/>
  <c r="L74" i="9"/>
  <c r="V73" i="9"/>
  <c r="U73" i="9"/>
  <c r="T73" i="9"/>
  <c r="S73" i="9"/>
  <c r="R73" i="9"/>
  <c r="Q73" i="9"/>
  <c r="P73" i="9"/>
  <c r="O73" i="9"/>
  <c r="N73" i="9"/>
  <c r="M73" i="9"/>
  <c r="L73" i="9"/>
  <c r="V72" i="9"/>
  <c r="U72" i="9"/>
  <c r="T72" i="9"/>
  <c r="S72" i="9"/>
  <c r="R72" i="9"/>
  <c r="Q72" i="9"/>
  <c r="P72" i="9"/>
  <c r="O72" i="9"/>
  <c r="N72" i="9"/>
  <c r="M72" i="9"/>
  <c r="L72" i="9"/>
  <c r="V71" i="9"/>
  <c r="U71" i="9"/>
  <c r="T71" i="9"/>
  <c r="S71" i="9"/>
  <c r="R71" i="9"/>
  <c r="Q71" i="9"/>
  <c r="P71" i="9"/>
  <c r="O71" i="9"/>
  <c r="O84" i="9" s="1"/>
  <c r="N71" i="9"/>
  <c r="M71" i="9"/>
  <c r="L71" i="9"/>
  <c r="W70" i="9"/>
  <c r="V70" i="9"/>
  <c r="U70" i="9"/>
  <c r="T70" i="9"/>
  <c r="S70" i="9"/>
  <c r="R70" i="9"/>
  <c r="Q70" i="9"/>
  <c r="P70" i="9"/>
  <c r="O70" i="9"/>
  <c r="N70" i="9"/>
  <c r="M70" i="9"/>
  <c r="L70" i="9"/>
  <c r="V69" i="9"/>
  <c r="U69" i="9"/>
  <c r="T69" i="9"/>
  <c r="T84" i="9" s="1"/>
  <c r="S69" i="9"/>
  <c r="R69" i="9"/>
  <c r="Q69" i="9"/>
  <c r="P69" i="9"/>
  <c r="O69" i="9"/>
  <c r="N69" i="9"/>
  <c r="N84" i="9" s="1"/>
  <c r="M69" i="9"/>
  <c r="L69" i="9"/>
  <c r="V68" i="9"/>
  <c r="U68" i="9"/>
  <c r="T68" i="9"/>
  <c r="S68" i="9"/>
  <c r="R68" i="9"/>
  <c r="R84" i="9" s="1"/>
  <c r="Q68" i="9"/>
  <c r="P68" i="9"/>
  <c r="P84" i="9" s="1"/>
  <c r="O68" i="9"/>
  <c r="N68" i="9"/>
  <c r="M68" i="9"/>
  <c r="L68" i="9"/>
  <c r="V64" i="9"/>
  <c r="U64" i="9"/>
  <c r="T64" i="9"/>
  <c r="S64" i="9"/>
  <c r="R64" i="9"/>
  <c r="O64" i="9"/>
  <c r="N64" i="9"/>
  <c r="M64" i="9"/>
  <c r="L64" i="9"/>
  <c r="W63" i="9"/>
  <c r="E63" i="9"/>
  <c r="D63" i="9"/>
  <c r="W62" i="9"/>
  <c r="X62" i="9" s="1"/>
  <c r="D62" i="9"/>
  <c r="E62" i="9" s="1"/>
  <c r="W61" i="9"/>
  <c r="W81" i="9" s="1"/>
  <c r="D61" i="9"/>
  <c r="E61" i="9" s="1"/>
  <c r="W60" i="9"/>
  <c r="W80" i="9" s="1"/>
  <c r="D60" i="9"/>
  <c r="E60" i="9" s="1"/>
  <c r="W59" i="9"/>
  <c r="W79" i="9" s="1"/>
  <c r="D59" i="9"/>
  <c r="E59" i="9" s="1"/>
  <c r="W58" i="9"/>
  <c r="X58" i="9" s="1"/>
  <c r="X78" i="9" s="1"/>
  <c r="D58" i="9"/>
  <c r="E58" i="9" s="1"/>
  <c r="W57" i="9"/>
  <c r="W77" i="9" s="1"/>
  <c r="D57" i="9"/>
  <c r="E57" i="9" s="1"/>
  <c r="Z56" i="9"/>
  <c r="Y56" i="9"/>
  <c r="Y76" i="9" s="1"/>
  <c r="W56" i="9"/>
  <c r="X56" i="9" s="1"/>
  <c r="X76" i="9" s="1"/>
  <c r="D56" i="9"/>
  <c r="E56" i="9" s="1"/>
  <c r="W55" i="9"/>
  <c r="W75" i="9" s="1"/>
  <c r="D55" i="9"/>
  <c r="E55" i="9" s="1"/>
  <c r="W54" i="9"/>
  <c r="X54" i="9" s="1"/>
  <c r="D54" i="9"/>
  <c r="E54" i="9" s="1"/>
  <c r="W53" i="9"/>
  <c r="W73" i="9" s="1"/>
  <c r="D53" i="9"/>
  <c r="E53" i="9" s="1"/>
  <c r="W52" i="9"/>
  <c r="W72" i="9" s="1"/>
  <c r="D52" i="9"/>
  <c r="E52" i="9" s="1"/>
  <c r="W51" i="9"/>
  <c r="W71" i="9" s="1"/>
  <c r="D51" i="9"/>
  <c r="E51" i="9" s="1"/>
  <c r="W50" i="9"/>
  <c r="D50" i="9"/>
  <c r="E50" i="9" s="1"/>
  <c r="W49" i="9"/>
  <c r="W69" i="9" s="1"/>
  <c r="D49" i="9"/>
  <c r="E49" i="9" s="1"/>
  <c r="W48" i="9"/>
  <c r="W68" i="9" s="1"/>
  <c r="Q48" i="9"/>
  <c r="Q64" i="9" s="1"/>
  <c r="P48" i="9"/>
  <c r="P64" i="9" s="1"/>
  <c r="D48" i="9"/>
  <c r="E48" i="9" s="1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AF24" i="9"/>
  <c r="X24" i="9"/>
  <c r="AF23" i="9"/>
  <c r="AE23" i="9"/>
  <c r="AE24" i="9" s="1"/>
  <c r="X23" i="9"/>
  <c r="S23" i="9"/>
  <c r="S24" i="9" s="1"/>
  <c r="AF22" i="9"/>
  <c r="AE22" i="9"/>
  <c r="AD22" i="9"/>
  <c r="AC22" i="9"/>
  <c r="AB22" i="9"/>
  <c r="AA22" i="9"/>
  <c r="Z22" i="9"/>
  <c r="W22" i="9"/>
  <c r="V22" i="9"/>
  <c r="U22" i="9"/>
  <c r="T22" i="9"/>
  <c r="S22" i="9"/>
  <c r="R22" i="9"/>
  <c r="Q22" i="9"/>
  <c r="P22" i="9"/>
  <c r="O22" i="9"/>
  <c r="N22" i="9"/>
  <c r="M22" i="9"/>
  <c r="L22" i="9"/>
  <c r="AB17" i="9"/>
  <c r="H17" i="9"/>
  <c r="F17" i="9"/>
  <c r="AB16" i="9"/>
  <c r="H16" i="9"/>
  <c r="F16" i="9"/>
  <c r="AB15" i="9"/>
  <c r="H15" i="9"/>
  <c r="F15" i="9"/>
  <c r="AB14" i="9"/>
  <c r="H14" i="9" s="1"/>
  <c r="F14" i="9"/>
  <c r="AB13" i="9"/>
  <c r="H13" i="9"/>
  <c r="F13" i="9"/>
  <c r="AB12" i="9"/>
  <c r="H12" i="9"/>
  <c r="F12" i="9"/>
  <c r="D12" i="9"/>
  <c r="E12" i="9" s="1"/>
  <c r="T11" i="9"/>
  <c r="H11" i="9"/>
  <c r="F11" i="9"/>
  <c r="H10" i="9"/>
  <c r="F10" i="9"/>
  <c r="Y9" i="9"/>
  <c r="Y22" i="9" s="1"/>
  <c r="H9" i="9"/>
  <c r="F9" i="9"/>
  <c r="X8" i="9"/>
  <c r="X22" i="9" s="1"/>
  <c r="H8" i="9"/>
  <c r="F8" i="9"/>
  <c r="H7" i="9"/>
  <c r="F7" i="9"/>
  <c r="H6" i="9"/>
  <c r="F6" i="9"/>
  <c r="E6" i="9"/>
  <c r="D6" i="9"/>
  <c r="V83" i="8"/>
  <c r="U83" i="8"/>
  <c r="T83" i="8"/>
  <c r="S83" i="8"/>
  <c r="R83" i="8"/>
  <c r="Q83" i="8"/>
  <c r="P83" i="8"/>
  <c r="V82" i="8"/>
  <c r="U82" i="8"/>
  <c r="T82" i="8"/>
  <c r="S82" i="8"/>
  <c r="R82" i="8"/>
  <c r="Q82" i="8"/>
  <c r="P82" i="8"/>
  <c r="X81" i="8"/>
  <c r="W81" i="8"/>
  <c r="V81" i="8"/>
  <c r="U81" i="8"/>
  <c r="T81" i="8"/>
  <c r="S81" i="8"/>
  <c r="R81" i="8"/>
  <c r="Q81" i="8"/>
  <c r="P81" i="8"/>
  <c r="V80" i="8"/>
  <c r="U80" i="8"/>
  <c r="T80" i="8"/>
  <c r="S80" i="8"/>
  <c r="R80" i="8"/>
  <c r="Q80" i="8"/>
  <c r="P80" i="8"/>
  <c r="Z79" i="8"/>
  <c r="V79" i="8"/>
  <c r="U79" i="8"/>
  <c r="T79" i="8"/>
  <c r="S79" i="8"/>
  <c r="R79" i="8"/>
  <c r="Q79" i="8"/>
  <c r="P79" i="8"/>
  <c r="O79" i="8"/>
  <c r="N79" i="8"/>
  <c r="M79" i="8"/>
  <c r="L79" i="8"/>
  <c r="V78" i="8"/>
  <c r="U78" i="8"/>
  <c r="T78" i="8"/>
  <c r="S78" i="8"/>
  <c r="R78" i="8"/>
  <c r="Q78" i="8"/>
  <c r="P78" i="8"/>
  <c r="O78" i="8"/>
  <c r="N78" i="8"/>
  <c r="M78" i="8"/>
  <c r="L78" i="8"/>
  <c r="V77" i="8"/>
  <c r="U77" i="8"/>
  <c r="T77" i="8"/>
  <c r="S77" i="8"/>
  <c r="R77" i="8"/>
  <c r="Q77" i="8"/>
  <c r="P77" i="8"/>
  <c r="O77" i="8"/>
  <c r="N77" i="8"/>
  <c r="M77" i="8"/>
  <c r="L77" i="8"/>
  <c r="V76" i="8"/>
  <c r="U76" i="8"/>
  <c r="T76" i="8"/>
  <c r="S76" i="8"/>
  <c r="R76" i="8"/>
  <c r="Q76" i="8"/>
  <c r="P76" i="8"/>
  <c r="O76" i="8"/>
  <c r="N76" i="8"/>
  <c r="M76" i="8"/>
  <c r="L76" i="8"/>
  <c r="V75" i="8"/>
  <c r="U75" i="8"/>
  <c r="T75" i="8"/>
  <c r="S75" i="8"/>
  <c r="R75" i="8"/>
  <c r="Q75" i="8"/>
  <c r="P75" i="8"/>
  <c r="O75" i="8"/>
  <c r="N75" i="8"/>
  <c r="M75" i="8"/>
  <c r="L75" i="8"/>
  <c r="V74" i="8"/>
  <c r="U74" i="8"/>
  <c r="T74" i="8"/>
  <c r="S74" i="8"/>
  <c r="R74" i="8"/>
  <c r="Q74" i="8"/>
  <c r="P74" i="8"/>
  <c r="O74" i="8"/>
  <c r="N74" i="8"/>
  <c r="M74" i="8"/>
  <c r="L74" i="8"/>
  <c r="V73" i="8"/>
  <c r="U73" i="8"/>
  <c r="T73" i="8"/>
  <c r="S73" i="8"/>
  <c r="R73" i="8"/>
  <c r="Q73" i="8"/>
  <c r="P73" i="8"/>
  <c r="O73" i="8"/>
  <c r="N73" i="8"/>
  <c r="M73" i="8"/>
  <c r="L73" i="8"/>
  <c r="AF72" i="8"/>
  <c r="X72" i="8"/>
  <c r="V72" i="8"/>
  <c r="U72" i="8"/>
  <c r="T72" i="8"/>
  <c r="S72" i="8"/>
  <c r="R72" i="8"/>
  <c r="Q72" i="8"/>
  <c r="P72" i="8"/>
  <c r="O72" i="8"/>
  <c r="N72" i="8"/>
  <c r="M72" i="8"/>
  <c r="L72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V70" i="8"/>
  <c r="U70" i="8"/>
  <c r="T70" i="8"/>
  <c r="S70" i="8"/>
  <c r="R70" i="8"/>
  <c r="Q70" i="8"/>
  <c r="P70" i="8"/>
  <c r="O70" i="8"/>
  <c r="N70" i="8"/>
  <c r="M70" i="8"/>
  <c r="L70" i="8"/>
  <c r="W69" i="8"/>
  <c r="V69" i="8"/>
  <c r="U69" i="8"/>
  <c r="T69" i="8"/>
  <c r="S69" i="8"/>
  <c r="R69" i="8"/>
  <c r="Q69" i="8"/>
  <c r="P69" i="8"/>
  <c r="O69" i="8"/>
  <c r="N69" i="8"/>
  <c r="M69" i="8"/>
  <c r="L69" i="8"/>
  <c r="V68" i="8"/>
  <c r="V84" i="8" s="1"/>
  <c r="U68" i="8"/>
  <c r="T68" i="8"/>
  <c r="T84" i="8" s="1"/>
  <c r="S68" i="8"/>
  <c r="R68" i="8"/>
  <c r="R84" i="8" s="1"/>
  <c r="O68" i="8"/>
  <c r="N68" i="8"/>
  <c r="N84" i="8" s="1"/>
  <c r="M68" i="8"/>
  <c r="L68" i="8"/>
  <c r="V64" i="8"/>
  <c r="U64" i="8"/>
  <c r="T64" i="8"/>
  <c r="S64" i="8"/>
  <c r="R64" i="8"/>
  <c r="O64" i="8"/>
  <c r="N64" i="8"/>
  <c r="M64" i="8"/>
  <c r="L64" i="8"/>
  <c r="X63" i="8"/>
  <c r="X83" i="8" s="1"/>
  <c r="W63" i="8"/>
  <c r="W83" i="8" s="1"/>
  <c r="D63" i="8"/>
  <c r="E63" i="8" s="1"/>
  <c r="X62" i="8"/>
  <c r="Y62" i="8" s="1"/>
  <c r="W62" i="8"/>
  <c r="W82" i="8" s="1"/>
  <c r="E62" i="8"/>
  <c r="D62" i="8"/>
  <c r="X61" i="8"/>
  <c r="Y61" i="8" s="1"/>
  <c r="W61" i="8"/>
  <c r="D61" i="8"/>
  <c r="E61" i="8" s="1"/>
  <c r="X60" i="8"/>
  <c r="W60" i="8"/>
  <c r="W80" i="8" s="1"/>
  <c r="E60" i="8"/>
  <c r="D60" i="8"/>
  <c r="AA59" i="8"/>
  <c r="AA79" i="8" s="1"/>
  <c r="W59" i="8"/>
  <c r="D59" i="8"/>
  <c r="E59" i="8" s="1"/>
  <c r="W58" i="8"/>
  <c r="D58" i="8"/>
  <c r="E58" i="8" s="1"/>
  <c r="W57" i="8"/>
  <c r="D57" i="8"/>
  <c r="E57" i="8" s="1"/>
  <c r="W56" i="8"/>
  <c r="D56" i="8"/>
  <c r="E56" i="8" s="1"/>
  <c r="W55" i="8"/>
  <c r="D55" i="8"/>
  <c r="W54" i="8"/>
  <c r="D54" i="8"/>
  <c r="E54" i="8" s="1"/>
  <c r="W53" i="8"/>
  <c r="D53" i="8"/>
  <c r="Z52" i="8"/>
  <c r="X52" i="8"/>
  <c r="Y52" i="8" s="1"/>
  <c r="Y72" i="8" s="1"/>
  <c r="W52" i="8"/>
  <c r="W72" i="8" s="1"/>
  <c r="E52" i="8"/>
  <c r="D52" i="8"/>
  <c r="X51" i="8"/>
  <c r="W51" i="8"/>
  <c r="E51" i="8"/>
  <c r="D51" i="8"/>
  <c r="W50" i="8"/>
  <c r="W70" i="8" s="1"/>
  <c r="E50" i="8"/>
  <c r="D50" i="8"/>
  <c r="X49" i="8"/>
  <c r="W49" i="8"/>
  <c r="D49" i="8"/>
  <c r="E49" i="8" s="1"/>
  <c r="Z48" i="8"/>
  <c r="X48" i="8"/>
  <c r="Y48" i="8" s="1"/>
  <c r="W48" i="8"/>
  <c r="W68" i="8" s="1"/>
  <c r="Q48" i="8"/>
  <c r="P48" i="8"/>
  <c r="D48" i="8"/>
  <c r="E48" i="8" s="1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AE24" i="8"/>
  <c r="S24" i="8"/>
  <c r="AF23" i="8"/>
  <c r="AF24" i="8" s="1"/>
  <c r="AE23" i="8"/>
  <c r="X23" i="8"/>
  <c r="X24" i="8" s="1"/>
  <c r="S23" i="8"/>
  <c r="AF22" i="8"/>
  <c r="AE22" i="8"/>
  <c r="AD22" i="8"/>
  <c r="AC22" i="8"/>
  <c r="AA22" i="8"/>
  <c r="Z22" i="8"/>
  <c r="W22" i="8"/>
  <c r="V22" i="8"/>
  <c r="U22" i="8"/>
  <c r="S22" i="8"/>
  <c r="R22" i="8"/>
  <c r="Q22" i="8"/>
  <c r="P22" i="8"/>
  <c r="O22" i="8"/>
  <c r="N22" i="8"/>
  <c r="M22" i="8"/>
  <c r="L22" i="8"/>
  <c r="AB17" i="8"/>
  <c r="AB59" i="8" s="1"/>
  <c r="H17" i="8"/>
  <c r="F17" i="8"/>
  <c r="AB16" i="8"/>
  <c r="H16" i="8"/>
  <c r="F16" i="8"/>
  <c r="AB15" i="8"/>
  <c r="H15" i="8" s="1"/>
  <c r="F15" i="8"/>
  <c r="AB14" i="8"/>
  <c r="H14" i="8" s="1"/>
  <c r="F14" i="8"/>
  <c r="AB13" i="8"/>
  <c r="H13" i="8"/>
  <c r="F13" i="8"/>
  <c r="AB12" i="8"/>
  <c r="AB22" i="8" s="1"/>
  <c r="H12" i="8"/>
  <c r="F12" i="8"/>
  <c r="E12" i="8"/>
  <c r="D12" i="8"/>
  <c r="T11" i="8"/>
  <c r="T22" i="8" s="1"/>
  <c r="H11" i="8"/>
  <c r="F11" i="8"/>
  <c r="H10" i="8"/>
  <c r="F10" i="8"/>
  <c r="Y9" i="8"/>
  <c r="Y22" i="8" s="1"/>
  <c r="H9" i="8"/>
  <c r="F9" i="8"/>
  <c r="X8" i="8"/>
  <c r="X50" i="8" s="1"/>
  <c r="H8" i="8"/>
  <c r="F8" i="8"/>
  <c r="H7" i="8"/>
  <c r="F7" i="8"/>
  <c r="H6" i="8"/>
  <c r="F6" i="8"/>
  <c r="E6" i="8"/>
  <c r="D6" i="8"/>
  <c r="G101" i="7"/>
  <c r="J101" i="7" s="1"/>
  <c r="G100" i="7"/>
  <c r="J100" i="7" s="1"/>
  <c r="G99" i="7"/>
  <c r="J99" i="7" s="1"/>
  <c r="G98" i="7"/>
  <c r="J98" i="7" s="1"/>
  <c r="G97" i="7"/>
  <c r="J97" i="7" s="1"/>
  <c r="G96" i="7"/>
  <c r="J96" i="7" s="1"/>
  <c r="I92" i="7"/>
  <c r="H92" i="7"/>
  <c r="F92" i="7"/>
  <c r="E92" i="7"/>
  <c r="D92" i="7"/>
  <c r="C92" i="7"/>
  <c r="J91" i="7"/>
  <c r="L91" i="7" s="1"/>
  <c r="M91" i="7" s="1"/>
  <c r="N88" i="7" s="1"/>
  <c r="G91" i="7"/>
  <c r="G90" i="7"/>
  <c r="J90" i="7" s="1"/>
  <c r="L90" i="7" s="1"/>
  <c r="M90" i="7" s="1"/>
  <c r="N86" i="7" s="1"/>
  <c r="L89" i="7"/>
  <c r="M89" i="7" s="1"/>
  <c r="N87" i="7" s="1"/>
  <c r="G89" i="7"/>
  <c r="J89" i="7" s="1"/>
  <c r="G88" i="7"/>
  <c r="J88" i="7" s="1"/>
  <c r="L88" i="7" s="1"/>
  <c r="M88" i="7" s="1"/>
  <c r="N91" i="7" s="1"/>
  <c r="J87" i="7"/>
  <c r="L87" i="7" s="1"/>
  <c r="M87" i="7" s="1"/>
  <c r="N90" i="7" s="1"/>
  <c r="G87" i="7"/>
  <c r="G86" i="7"/>
  <c r="I82" i="7"/>
  <c r="H82" i="7"/>
  <c r="F82" i="7"/>
  <c r="E82" i="7"/>
  <c r="D82" i="7"/>
  <c r="C82" i="7"/>
  <c r="J81" i="7"/>
  <c r="L81" i="7" s="1"/>
  <c r="M81" i="7" s="1"/>
  <c r="N78" i="7" s="1"/>
  <c r="G81" i="7"/>
  <c r="G80" i="7"/>
  <c r="J80" i="7" s="1"/>
  <c r="L80" i="7" s="1"/>
  <c r="M80" i="7" s="1"/>
  <c r="N76" i="7" s="1"/>
  <c r="J79" i="7"/>
  <c r="L79" i="7" s="1"/>
  <c r="M79" i="7" s="1"/>
  <c r="N77" i="7" s="1"/>
  <c r="G79" i="7"/>
  <c r="G78" i="7"/>
  <c r="J78" i="7" s="1"/>
  <c r="L78" i="7" s="1"/>
  <c r="M78" i="7" s="1"/>
  <c r="N81" i="7" s="1"/>
  <c r="G77" i="7"/>
  <c r="J77" i="7" s="1"/>
  <c r="L77" i="7" s="1"/>
  <c r="M77" i="7" s="1"/>
  <c r="N80" i="7" s="1"/>
  <c r="G76" i="7"/>
  <c r="J76" i="7" s="1"/>
  <c r="I72" i="7"/>
  <c r="H72" i="7"/>
  <c r="F72" i="7"/>
  <c r="E72" i="7"/>
  <c r="D72" i="7"/>
  <c r="C72" i="7"/>
  <c r="G71" i="7"/>
  <c r="J71" i="7" s="1"/>
  <c r="G70" i="7"/>
  <c r="J70" i="7" s="1"/>
  <c r="G69" i="7"/>
  <c r="J69" i="7" s="1"/>
  <c r="G68" i="7"/>
  <c r="J68" i="7" s="1"/>
  <c r="G67" i="7"/>
  <c r="J67" i="7" s="1"/>
  <c r="G66" i="7"/>
  <c r="I63" i="7"/>
  <c r="H63" i="7"/>
  <c r="F63" i="7"/>
  <c r="E63" i="7"/>
  <c r="D63" i="7"/>
  <c r="C63" i="7"/>
  <c r="G62" i="7"/>
  <c r="J62" i="7" s="1"/>
  <c r="G61" i="7"/>
  <c r="J61" i="7" s="1"/>
  <c r="G60" i="7"/>
  <c r="J60" i="7" s="1"/>
  <c r="G59" i="7"/>
  <c r="J59" i="7" s="1"/>
  <c r="G58" i="7"/>
  <c r="J58" i="7" s="1"/>
  <c r="G57" i="7"/>
  <c r="I54" i="7"/>
  <c r="H54" i="7"/>
  <c r="F54" i="7"/>
  <c r="E54" i="7"/>
  <c r="D54" i="7"/>
  <c r="C54" i="7"/>
  <c r="G53" i="7"/>
  <c r="J53" i="7" s="1"/>
  <c r="G52" i="7"/>
  <c r="J52" i="7" s="1"/>
  <c r="G51" i="7"/>
  <c r="J51" i="7" s="1"/>
  <c r="G50" i="7"/>
  <c r="J50" i="7" s="1"/>
  <c r="G49" i="7"/>
  <c r="J49" i="7" s="1"/>
  <c r="G48" i="7"/>
  <c r="J48" i="7" s="1"/>
  <c r="I45" i="7"/>
  <c r="H45" i="7"/>
  <c r="F45" i="7"/>
  <c r="E45" i="7"/>
  <c r="D45" i="7"/>
  <c r="C45" i="7"/>
  <c r="J44" i="7"/>
  <c r="G44" i="7"/>
  <c r="J43" i="7"/>
  <c r="G43" i="7"/>
  <c r="J42" i="7"/>
  <c r="G42" i="7"/>
  <c r="J41" i="7"/>
  <c r="G41" i="7"/>
  <c r="J40" i="7"/>
  <c r="G40" i="7"/>
  <c r="J39" i="7"/>
  <c r="J45" i="7" s="1"/>
  <c r="G39" i="7"/>
  <c r="G45" i="7" s="1"/>
  <c r="I36" i="7"/>
  <c r="H36" i="7"/>
  <c r="F36" i="7"/>
  <c r="E36" i="7"/>
  <c r="D36" i="7"/>
  <c r="C36" i="7"/>
  <c r="J35" i="7"/>
  <c r="G35" i="7"/>
  <c r="J34" i="7"/>
  <c r="G34" i="7"/>
  <c r="J33" i="7"/>
  <c r="G33" i="7"/>
  <c r="J32" i="7"/>
  <c r="J36" i="7" s="1"/>
  <c r="G32" i="7"/>
  <c r="J31" i="7"/>
  <c r="G31" i="7"/>
  <c r="J30" i="7"/>
  <c r="G30" i="7"/>
  <c r="I27" i="7"/>
  <c r="H27" i="7"/>
  <c r="F27" i="7"/>
  <c r="E27" i="7"/>
  <c r="D27" i="7"/>
  <c r="C27" i="7"/>
  <c r="J26" i="7"/>
  <c r="G26" i="7"/>
  <c r="J25" i="7"/>
  <c r="G25" i="7"/>
  <c r="J24" i="7"/>
  <c r="G24" i="7"/>
  <c r="J23" i="7"/>
  <c r="J27" i="7" s="1"/>
  <c r="G23" i="7"/>
  <c r="J22" i="7"/>
  <c r="G22" i="7"/>
  <c r="G27" i="7" s="1"/>
  <c r="J21" i="7"/>
  <c r="G21" i="7"/>
  <c r="I18" i="7"/>
  <c r="H18" i="7"/>
  <c r="F18" i="7"/>
  <c r="E18" i="7"/>
  <c r="D18" i="7"/>
  <c r="C18" i="7"/>
  <c r="J17" i="7"/>
  <c r="G17" i="7"/>
  <c r="J16" i="7"/>
  <c r="G16" i="7"/>
  <c r="J15" i="7"/>
  <c r="G15" i="7"/>
  <c r="J14" i="7"/>
  <c r="G14" i="7"/>
  <c r="J13" i="7"/>
  <c r="G13" i="7"/>
  <c r="J12" i="7"/>
  <c r="J18" i="7" s="1"/>
  <c r="G12" i="7"/>
  <c r="I9" i="7"/>
  <c r="H9" i="7"/>
  <c r="F9" i="7"/>
  <c r="E9" i="7"/>
  <c r="D9" i="7"/>
  <c r="C9" i="7"/>
  <c r="J8" i="7"/>
  <c r="G8" i="7"/>
  <c r="J7" i="7"/>
  <c r="G7" i="7"/>
  <c r="J6" i="7"/>
  <c r="G6" i="7"/>
  <c r="J5" i="7"/>
  <c r="J9" i="7" s="1"/>
  <c r="G5" i="7"/>
  <c r="J4" i="7"/>
  <c r="G4" i="7"/>
  <c r="J3" i="7"/>
  <c r="G3" i="7"/>
  <c r="G9" i="7" s="1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U45" i="5"/>
  <c r="T45" i="5"/>
  <c r="S45" i="5"/>
  <c r="R45" i="5"/>
  <c r="Q45" i="5"/>
  <c r="P45" i="5"/>
  <c r="O45" i="5"/>
  <c r="N45" i="5"/>
  <c r="M45" i="5"/>
  <c r="L45" i="5"/>
  <c r="U44" i="5"/>
  <c r="T44" i="5"/>
  <c r="S44" i="5"/>
  <c r="R44" i="5"/>
  <c r="Q44" i="5"/>
  <c r="P44" i="5"/>
  <c r="O44" i="5"/>
  <c r="N44" i="5"/>
  <c r="M44" i="5"/>
  <c r="L44" i="5"/>
  <c r="U43" i="5"/>
  <c r="T43" i="5"/>
  <c r="S43" i="5"/>
  <c r="R43" i="5"/>
  <c r="Q43" i="5"/>
  <c r="P43" i="5"/>
  <c r="O43" i="5"/>
  <c r="N43" i="5"/>
  <c r="M43" i="5"/>
  <c r="L43" i="5"/>
  <c r="W42" i="5"/>
  <c r="U42" i="5"/>
  <c r="U47" i="5" s="1"/>
  <c r="T42" i="5"/>
  <c r="S42" i="5"/>
  <c r="R42" i="5"/>
  <c r="Q42" i="5"/>
  <c r="P42" i="5"/>
  <c r="O42" i="5"/>
  <c r="N42" i="5"/>
  <c r="M42" i="5"/>
  <c r="L42" i="5"/>
  <c r="U41" i="5"/>
  <c r="T41" i="5"/>
  <c r="S41" i="5"/>
  <c r="R41" i="5"/>
  <c r="Q41" i="5"/>
  <c r="P41" i="5"/>
  <c r="O41" i="5"/>
  <c r="N41" i="5"/>
  <c r="M41" i="5"/>
  <c r="L41" i="5"/>
  <c r="U40" i="5"/>
  <c r="T40" i="5"/>
  <c r="S40" i="5"/>
  <c r="S47" i="5" s="1"/>
  <c r="R40" i="5"/>
  <c r="R47" i="5" s="1"/>
  <c r="Q40" i="5"/>
  <c r="Q47" i="5" s="1"/>
  <c r="P40" i="5"/>
  <c r="P47" i="5" s="1"/>
  <c r="O40" i="5"/>
  <c r="O47" i="5" s="1"/>
  <c r="N40" i="5"/>
  <c r="M40" i="5"/>
  <c r="M47" i="5" s="1"/>
  <c r="L40" i="5"/>
  <c r="U37" i="5"/>
  <c r="T37" i="5"/>
  <c r="S37" i="5"/>
  <c r="R37" i="5"/>
  <c r="Q37" i="5"/>
  <c r="P37" i="5"/>
  <c r="O37" i="5"/>
  <c r="N37" i="5"/>
  <c r="M37" i="5"/>
  <c r="L37" i="5"/>
  <c r="W36" i="5"/>
  <c r="X36" i="5" s="1"/>
  <c r="Y36" i="5" s="1"/>
  <c r="Z36" i="5" s="1"/>
  <c r="AA36" i="5" s="1"/>
  <c r="AB36" i="5" s="1"/>
  <c r="AC36" i="5" s="1"/>
  <c r="AD36" i="5" s="1"/>
  <c r="AE36" i="5" s="1"/>
  <c r="AF36" i="5" s="1"/>
  <c r="V36" i="5"/>
  <c r="G36" i="5" s="1"/>
  <c r="O36" i="5"/>
  <c r="F36" i="5"/>
  <c r="E36" i="5"/>
  <c r="X35" i="5"/>
  <c r="V35" i="5"/>
  <c r="W35" i="5" s="1"/>
  <c r="W45" i="5" s="1"/>
  <c r="E35" i="5"/>
  <c r="F35" i="5" s="1"/>
  <c r="F34" i="5"/>
  <c r="E34" i="5"/>
  <c r="V33" i="5"/>
  <c r="V43" i="5" s="1"/>
  <c r="E33" i="5"/>
  <c r="F33" i="5" s="1"/>
  <c r="V32" i="5"/>
  <c r="W32" i="5" s="1"/>
  <c r="X32" i="5" s="1"/>
  <c r="F32" i="5"/>
  <c r="G32" i="5" s="1"/>
  <c r="E32" i="5"/>
  <c r="V31" i="5"/>
  <c r="F31" i="5"/>
  <c r="E31" i="5"/>
  <c r="V30" i="5"/>
  <c r="F30" i="5"/>
  <c r="E30" i="5"/>
  <c r="AF27" i="5"/>
  <c r="AE27" i="5"/>
  <c r="AD27" i="5"/>
  <c r="AC27" i="5"/>
  <c r="AB27" i="5"/>
  <c r="AA27" i="5"/>
  <c r="Z27" i="5"/>
  <c r="Y27" i="5"/>
  <c r="X27" i="5"/>
  <c r="W27" i="5"/>
  <c r="V27" i="5"/>
  <c r="U27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AE15" i="5"/>
  <c r="AA15" i="5"/>
  <c r="S15" i="5"/>
  <c r="O15" i="5"/>
  <c r="N15" i="5"/>
  <c r="AF14" i="5"/>
  <c r="AF15" i="5" s="1"/>
  <c r="AE14" i="5"/>
  <c r="AD14" i="5"/>
  <c r="AD15" i="5" s="1"/>
  <c r="AA14" i="5"/>
  <c r="S14" i="5"/>
  <c r="R14" i="5"/>
  <c r="R15" i="5" s="1"/>
  <c r="Q14" i="5"/>
  <c r="Q15" i="5" s="1"/>
  <c r="O14" i="5"/>
  <c r="N14" i="5"/>
  <c r="AF13" i="5"/>
  <c r="AE13" i="5"/>
  <c r="AD13" i="5"/>
  <c r="AC13" i="5"/>
  <c r="AB13" i="5"/>
  <c r="X13" i="5"/>
  <c r="U13" i="5"/>
  <c r="T13" i="5"/>
  <c r="S13" i="5"/>
  <c r="R13" i="5"/>
  <c r="Q13" i="5"/>
  <c r="P13" i="5"/>
  <c r="O13" i="5"/>
  <c r="N13" i="5"/>
  <c r="M13" i="5"/>
  <c r="L13" i="5"/>
  <c r="AA11" i="5"/>
  <c r="W11" i="5"/>
  <c r="H11" i="5"/>
  <c r="AA10" i="5"/>
  <c r="Z10" i="5"/>
  <c r="Y10" i="5"/>
  <c r="Y13" i="5" s="1"/>
  <c r="W10" i="5"/>
  <c r="V10" i="5"/>
  <c r="V34" i="5" s="1"/>
  <c r="H10" i="5"/>
  <c r="AA9" i="5"/>
  <c r="H9" i="5" s="1"/>
  <c r="Z9" i="5"/>
  <c r="Z13" i="5" s="1"/>
  <c r="Y9" i="5"/>
  <c r="W9" i="5"/>
  <c r="W13" i="5" s="1"/>
  <c r="E9" i="5"/>
  <c r="D9" i="5"/>
  <c r="AA8" i="5"/>
  <c r="H8" i="5"/>
  <c r="AA7" i="5"/>
  <c r="H7" i="5" s="1"/>
  <c r="AA6" i="5"/>
  <c r="H6" i="5" s="1"/>
  <c r="V6" i="5"/>
  <c r="V13" i="5" s="1"/>
  <c r="D6" i="5"/>
  <c r="E6" i="5" s="1"/>
  <c r="Y3" i="5"/>
  <c r="Z2" i="5"/>
  <c r="W2" i="5"/>
  <c r="V2" i="5"/>
  <c r="V3" i="5" s="1"/>
  <c r="V46" i="4"/>
  <c r="U46" i="4"/>
  <c r="V45" i="4"/>
  <c r="U45" i="4"/>
  <c r="T45" i="4"/>
  <c r="S45" i="4"/>
  <c r="R45" i="4"/>
  <c r="Q45" i="4"/>
  <c r="P45" i="4"/>
  <c r="O45" i="4"/>
  <c r="N45" i="4"/>
  <c r="M45" i="4"/>
  <c r="L45" i="4"/>
  <c r="V44" i="4"/>
  <c r="U44" i="4"/>
  <c r="T44" i="4"/>
  <c r="S44" i="4"/>
  <c r="R44" i="4"/>
  <c r="Q44" i="4"/>
  <c r="P44" i="4"/>
  <c r="O44" i="4"/>
  <c r="N44" i="4"/>
  <c r="M44" i="4"/>
  <c r="L44" i="4"/>
  <c r="V43" i="4"/>
  <c r="U43" i="4"/>
  <c r="T43" i="4"/>
  <c r="S43" i="4"/>
  <c r="R43" i="4"/>
  <c r="Q43" i="4"/>
  <c r="P43" i="4"/>
  <c r="O43" i="4"/>
  <c r="N43" i="4"/>
  <c r="M43" i="4"/>
  <c r="L43" i="4"/>
  <c r="V42" i="4"/>
  <c r="U42" i="4"/>
  <c r="U47" i="4" s="1"/>
  <c r="T42" i="4"/>
  <c r="T47" i="4" s="1"/>
  <c r="S42" i="4"/>
  <c r="R42" i="4"/>
  <c r="Q42" i="4"/>
  <c r="P42" i="4"/>
  <c r="O42" i="4"/>
  <c r="N42" i="4"/>
  <c r="M42" i="4"/>
  <c r="L42" i="4"/>
  <c r="V41" i="4"/>
  <c r="U41" i="4"/>
  <c r="T41" i="4"/>
  <c r="S41" i="4"/>
  <c r="R41" i="4"/>
  <c r="R47" i="4" s="1"/>
  <c r="Q41" i="4"/>
  <c r="P41" i="4"/>
  <c r="O41" i="4"/>
  <c r="N41" i="4"/>
  <c r="M41" i="4"/>
  <c r="L41" i="4"/>
  <c r="V40" i="4"/>
  <c r="V47" i="4" s="1"/>
  <c r="U40" i="4"/>
  <c r="T40" i="4"/>
  <c r="S40" i="4"/>
  <c r="S47" i="4" s="1"/>
  <c r="R40" i="4"/>
  <c r="Q40" i="4"/>
  <c r="P40" i="4"/>
  <c r="P47" i="4" s="1"/>
  <c r="O40" i="4"/>
  <c r="O47" i="4" s="1"/>
  <c r="N40" i="4"/>
  <c r="N47" i="4" s="1"/>
  <c r="M40" i="4"/>
  <c r="M47" i="4" s="1"/>
  <c r="L40" i="4"/>
  <c r="L47" i="4" s="1"/>
  <c r="V37" i="4"/>
  <c r="U37" i="4"/>
  <c r="T37" i="4"/>
  <c r="S37" i="4"/>
  <c r="R37" i="4"/>
  <c r="Q37" i="4"/>
  <c r="P37" i="4"/>
  <c r="O37" i="4"/>
  <c r="N37" i="4"/>
  <c r="M37" i="4"/>
  <c r="L37" i="4"/>
  <c r="W36" i="4"/>
  <c r="W46" i="4" s="1"/>
  <c r="O36" i="4"/>
  <c r="G36" i="4"/>
  <c r="F36" i="4"/>
  <c r="E36" i="4"/>
  <c r="W35" i="4"/>
  <c r="E35" i="4"/>
  <c r="F35" i="4" s="1"/>
  <c r="G35" i="4" s="1"/>
  <c r="W34" i="4"/>
  <c r="W44" i="4" s="1"/>
  <c r="F34" i="4"/>
  <c r="G34" i="4" s="1"/>
  <c r="E34" i="4"/>
  <c r="E33" i="4"/>
  <c r="F33" i="4" s="1"/>
  <c r="G33" i="4" s="1"/>
  <c r="W32" i="4"/>
  <c r="F32" i="4"/>
  <c r="G32" i="4" s="1"/>
  <c r="E32" i="4"/>
  <c r="X31" i="4"/>
  <c r="W31" i="4"/>
  <c r="W41" i="4" s="1"/>
  <c r="E31" i="4"/>
  <c r="F31" i="4" s="1"/>
  <c r="G31" i="4" s="1"/>
  <c r="W30" i="4"/>
  <c r="W40" i="4" s="1"/>
  <c r="F30" i="4"/>
  <c r="G30" i="4" s="1"/>
  <c r="E30" i="4"/>
  <c r="AF27" i="4"/>
  <c r="AE27" i="4"/>
  <c r="AD27" i="4"/>
  <c r="AC27" i="4"/>
  <c r="AB27" i="4"/>
  <c r="AA27" i="4"/>
  <c r="Z27" i="4"/>
  <c r="Y27" i="4"/>
  <c r="X27" i="4"/>
  <c r="W27" i="4"/>
  <c r="V27" i="4"/>
  <c r="U27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AA15" i="4"/>
  <c r="Q15" i="4"/>
  <c r="O15" i="4"/>
  <c r="N15" i="4"/>
  <c r="AF14" i="4"/>
  <c r="AF15" i="4" s="1"/>
  <c r="AE14" i="4"/>
  <c r="AE15" i="4" s="1"/>
  <c r="AD14" i="4"/>
  <c r="AD15" i="4" s="1"/>
  <c r="AA14" i="4"/>
  <c r="V14" i="4"/>
  <c r="V15" i="4" s="1"/>
  <c r="S14" i="4"/>
  <c r="S15" i="4" s="1"/>
  <c r="R14" i="4"/>
  <c r="R15" i="4" s="1"/>
  <c r="Q14" i="4"/>
  <c r="O14" i="4"/>
  <c r="N14" i="4"/>
  <c r="AF13" i="4"/>
  <c r="AE13" i="4"/>
  <c r="AD13" i="4"/>
  <c r="AC13" i="4"/>
  <c r="AA13" i="4"/>
  <c r="X13" i="4"/>
  <c r="U13" i="4"/>
  <c r="T13" i="4"/>
  <c r="S13" i="4"/>
  <c r="R13" i="4"/>
  <c r="Q13" i="4"/>
  <c r="P13" i="4"/>
  <c r="O13" i="4"/>
  <c r="N13" i="4"/>
  <c r="M13" i="4"/>
  <c r="L13" i="4"/>
  <c r="AB11" i="4"/>
  <c r="U9" i="23" s="1"/>
  <c r="W11" i="4"/>
  <c r="P9" i="23" s="1"/>
  <c r="H11" i="4"/>
  <c r="F11" i="4"/>
  <c r="AB10" i="4"/>
  <c r="Z10" i="4"/>
  <c r="S8" i="23" s="1"/>
  <c r="Y10" i="4"/>
  <c r="R8" i="23" s="1"/>
  <c r="W10" i="4"/>
  <c r="P8" i="23" s="1"/>
  <c r="V10" i="4"/>
  <c r="O8" i="23" s="1"/>
  <c r="F10" i="4"/>
  <c r="AB9" i="4"/>
  <c r="U7" i="23" s="1"/>
  <c r="Z9" i="4"/>
  <c r="S7" i="23" s="1"/>
  <c r="Y9" i="4"/>
  <c r="R7" i="23" s="1"/>
  <c r="W9" i="4"/>
  <c r="P7" i="23" s="1"/>
  <c r="H9" i="4"/>
  <c r="F9" i="4"/>
  <c r="D9" i="4"/>
  <c r="E9" i="4" s="1"/>
  <c r="AB8" i="4"/>
  <c r="U6" i="23" s="1"/>
  <c r="H8" i="4"/>
  <c r="F8" i="4"/>
  <c r="AB7" i="4"/>
  <c r="U5" i="23" s="1"/>
  <c r="H7" i="4"/>
  <c r="F7" i="4"/>
  <c r="AB6" i="4"/>
  <c r="U4" i="23" s="1"/>
  <c r="V6" i="4"/>
  <c r="O4" i="23" s="1"/>
  <c r="O11" i="23" s="1"/>
  <c r="V14" i="5" s="1"/>
  <c r="V15" i="5" s="1"/>
  <c r="H6" i="4"/>
  <c r="F6" i="4"/>
  <c r="D6" i="4"/>
  <c r="E6" i="4" s="1"/>
  <c r="W47" i="3"/>
  <c r="W46" i="3"/>
  <c r="V46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M47" i="3" s="1"/>
  <c r="X44" i="3"/>
  <c r="W44" i="3"/>
  <c r="V44" i="3"/>
  <c r="U44" i="3"/>
  <c r="T44" i="3"/>
  <c r="S44" i="3"/>
  <c r="R44" i="3"/>
  <c r="Q44" i="3"/>
  <c r="P44" i="3"/>
  <c r="O44" i="3"/>
  <c r="N44" i="3"/>
  <c r="M44" i="3"/>
  <c r="X43" i="3"/>
  <c r="W43" i="3"/>
  <c r="V43" i="3"/>
  <c r="U43" i="3"/>
  <c r="T43" i="3"/>
  <c r="S43" i="3"/>
  <c r="R43" i="3"/>
  <c r="Q43" i="3"/>
  <c r="P43" i="3"/>
  <c r="O43" i="3"/>
  <c r="N43" i="3"/>
  <c r="M43" i="3"/>
  <c r="W42" i="3"/>
  <c r="V42" i="3"/>
  <c r="U42" i="3"/>
  <c r="T42" i="3"/>
  <c r="S42" i="3"/>
  <c r="R42" i="3"/>
  <c r="Q42" i="3"/>
  <c r="P42" i="3"/>
  <c r="O42" i="3"/>
  <c r="N42" i="3"/>
  <c r="M42" i="3"/>
  <c r="X41" i="3"/>
  <c r="W41" i="3"/>
  <c r="V41" i="3"/>
  <c r="U41" i="3"/>
  <c r="T41" i="3"/>
  <c r="S41" i="3"/>
  <c r="R41" i="3"/>
  <c r="Q41" i="3"/>
  <c r="P41" i="3"/>
  <c r="O41" i="3"/>
  <c r="N41" i="3"/>
  <c r="M41" i="3"/>
  <c r="W40" i="3"/>
  <c r="V40" i="3"/>
  <c r="U40" i="3"/>
  <c r="T40" i="3"/>
  <c r="S40" i="3"/>
  <c r="R40" i="3"/>
  <c r="Q40" i="3"/>
  <c r="Q47" i="3" s="1"/>
  <c r="P40" i="3"/>
  <c r="O40" i="3"/>
  <c r="N40" i="3"/>
  <c r="N47" i="3" s="1"/>
  <c r="M40" i="3"/>
  <c r="W37" i="3"/>
  <c r="V37" i="3"/>
  <c r="U37" i="3"/>
  <c r="T37" i="3"/>
  <c r="S37" i="3"/>
  <c r="R37" i="3"/>
  <c r="Q37" i="3"/>
  <c r="P37" i="3"/>
  <c r="O37" i="3"/>
  <c r="N37" i="3"/>
  <c r="M37" i="3"/>
  <c r="X36" i="3"/>
  <c r="Y36" i="3" s="1"/>
  <c r="P36" i="3"/>
  <c r="F36" i="3"/>
  <c r="G36" i="3" s="1"/>
  <c r="H36" i="3" s="1"/>
  <c r="Y35" i="3"/>
  <c r="Z35" i="3" s="1"/>
  <c r="X35" i="3"/>
  <c r="H35" i="3"/>
  <c r="F35" i="3"/>
  <c r="G35" i="3" s="1"/>
  <c r="Y34" i="3"/>
  <c r="Z34" i="3" s="1"/>
  <c r="X34" i="3"/>
  <c r="H34" i="3"/>
  <c r="F34" i="3"/>
  <c r="G34" i="3" s="1"/>
  <c r="Y33" i="3"/>
  <c r="X33" i="3"/>
  <c r="F33" i="3"/>
  <c r="G33" i="3" s="1"/>
  <c r="H33" i="3" s="1"/>
  <c r="Y32" i="3"/>
  <c r="Y42" i="3" s="1"/>
  <c r="X32" i="3"/>
  <c r="X42" i="3" s="1"/>
  <c r="G32" i="3"/>
  <c r="H32" i="3" s="1"/>
  <c r="F32" i="3"/>
  <c r="Y31" i="3"/>
  <c r="X31" i="3"/>
  <c r="F31" i="3"/>
  <c r="G31" i="3" s="1"/>
  <c r="H31" i="3" s="1"/>
  <c r="X30" i="3"/>
  <c r="H30" i="3" s="1"/>
  <c r="F30" i="3"/>
  <c r="G30" i="3" s="1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AE15" i="3"/>
  <c r="S15" i="3"/>
  <c r="O15" i="3"/>
  <c r="AG14" i="3"/>
  <c r="AG15" i="3" s="1"/>
  <c r="AF14" i="3"/>
  <c r="AF15" i="3" s="1"/>
  <c r="AE14" i="3"/>
  <c r="AB14" i="3"/>
  <c r="AB15" i="3" s="1"/>
  <c r="W14" i="3"/>
  <c r="W15" i="3" s="1"/>
  <c r="T14" i="3"/>
  <c r="T15" i="3" s="1"/>
  <c r="S14" i="3"/>
  <c r="R14" i="3"/>
  <c r="R15" i="3" s="1"/>
  <c r="P14" i="3"/>
  <c r="P15" i="3" s="1"/>
  <c r="O14" i="3"/>
  <c r="AG13" i="3"/>
  <c r="AF13" i="3"/>
  <c r="AE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AD11" i="3"/>
  <c r="I11" i="3"/>
  <c r="H11" i="3"/>
  <c r="F11" i="3"/>
  <c r="AD10" i="3"/>
  <c r="I10" i="3"/>
  <c r="H10" i="3"/>
  <c r="F10" i="3"/>
  <c r="AD9" i="3"/>
  <c r="I9" i="3"/>
  <c r="H9" i="3"/>
  <c r="F9" i="3"/>
  <c r="D9" i="3"/>
  <c r="E9" i="3" s="1"/>
  <c r="AD8" i="3"/>
  <c r="I8" i="3"/>
  <c r="H8" i="3"/>
  <c r="F8" i="3"/>
  <c r="AD7" i="3"/>
  <c r="AD13" i="3" s="1"/>
  <c r="I7" i="3"/>
  <c r="H7" i="3"/>
  <c r="F7" i="3"/>
  <c r="AD6" i="3"/>
  <c r="I6" i="3"/>
  <c r="H6" i="3"/>
  <c r="F6" i="3"/>
  <c r="D6" i="3"/>
  <c r="E6" i="3" s="1"/>
  <c r="T47" i="2"/>
  <c r="Y46" i="2"/>
  <c r="X46" i="2"/>
  <c r="W46" i="2"/>
  <c r="V46" i="2"/>
  <c r="X45" i="2"/>
  <c r="W45" i="2"/>
  <c r="V45" i="2"/>
  <c r="U45" i="2"/>
  <c r="U47" i="2" s="1"/>
  <c r="T45" i="2"/>
  <c r="S45" i="2"/>
  <c r="R45" i="2"/>
  <c r="Q45" i="2"/>
  <c r="P45" i="2"/>
  <c r="O45" i="2"/>
  <c r="N45" i="2"/>
  <c r="M45" i="2"/>
  <c r="X44" i="2"/>
  <c r="W44" i="2"/>
  <c r="V44" i="2"/>
  <c r="U44" i="2"/>
  <c r="T44" i="2"/>
  <c r="S44" i="2"/>
  <c r="R44" i="2"/>
  <c r="Q44" i="2"/>
  <c r="P44" i="2"/>
  <c r="O44" i="2"/>
  <c r="N44" i="2"/>
  <c r="M44" i="2"/>
  <c r="X43" i="2"/>
  <c r="W43" i="2"/>
  <c r="V43" i="2"/>
  <c r="V47" i="2" s="1"/>
  <c r="U43" i="2"/>
  <c r="T43" i="2"/>
  <c r="S43" i="2"/>
  <c r="R43" i="2"/>
  <c r="Q43" i="2"/>
  <c r="P43" i="2"/>
  <c r="O43" i="2"/>
  <c r="N43" i="2"/>
  <c r="M43" i="2"/>
  <c r="X42" i="2"/>
  <c r="W42" i="2"/>
  <c r="V42" i="2"/>
  <c r="U42" i="2"/>
  <c r="T42" i="2"/>
  <c r="S42" i="2"/>
  <c r="R42" i="2"/>
  <c r="Q42" i="2"/>
  <c r="P42" i="2"/>
  <c r="O42" i="2"/>
  <c r="N42" i="2"/>
  <c r="M42" i="2"/>
  <c r="X41" i="2"/>
  <c r="W41" i="2"/>
  <c r="W47" i="2" s="1"/>
  <c r="V41" i="2"/>
  <c r="U41" i="2"/>
  <c r="T41" i="2"/>
  <c r="S41" i="2"/>
  <c r="R41" i="2"/>
  <c r="Q41" i="2"/>
  <c r="Q47" i="2" s="1"/>
  <c r="P41" i="2"/>
  <c r="O41" i="2"/>
  <c r="N41" i="2"/>
  <c r="M41" i="2"/>
  <c r="X40" i="2"/>
  <c r="W40" i="2"/>
  <c r="V40" i="2"/>
  <c r="U40" i="2"/>
  <c r="T40" i="2"/>
  <c r="S40" i="2"/>
  <c r="S47" i="2" s="1"/>
  <c r="R40" i="2"/>
  <c r="Q40" i="2"/>
  <c r="P40" i="2"/>
  <c r="O40" i="2"/>
  <c r="O47" i="2" s="1"/>
  <c r="N40" i="2"/>
  <c r="N47" i="2" s="1"/>
  <c r="M40" i="2"/>
  <c r="X37" i="2"/>
  <c r="W37" i="2"/>
  <c r="V37" i="2"/>
  <c r="U37" i="2"/>
  <c r="T37" i="2"/>
  <c r="S37" i="2"/>
  <c r="R37" i="2"/>
  <c r="Q37" i="2"/>
  <c r="P37" i="2"/>
  <c r="O37" i="2"/>
  <c r="N37" i="2"/>
  <c r="M37" i="2"/>
  <c r="Z36" i="2"/>
  <c r="Z46" i="2" s="1"/>
  <c r="Y36" i="2"/>
  <c r="P36" i="2"/>
  <c r="G36" i="2"/>
  <c r="H36" i="2" s="1"/>
  <c r="F36" i="2"/>
  <c r="Y35" i="2"/>
  <c r="Y45" i="2" s="1"/>
  <c r="F35" i="2"/>
  <c r="G35" i="2" s="1"/>
  <c r="H35" i="2" s="1"/>
  <c r="Y34" i="2"/>
  <c r="G34" i="2"/>
  <c r="H34" i="2" s="1"/>
  <c r="F34" i="2"/>
  <c r="Z33" i="2"/>
  <c r="Y33" i="2"/>
  <c r="Y43" i="2" s="1"/>
  <c r="F33" i="2"/>
  <c r="G33" i="2" s="1"/>
  <c r="H33" i="2" s="1"/>
  <c r="AA32" i="2"/>
  <c r="Y32" i="2"/>
  <c r="Z32" i="2" s="1"/>
  <c r="Z42" i="2" s="1"/>
  <c r="G32" i="2"/>
  <c r="H32" i="2" s="1"/>
  <c r="F32" i="2"/>
  <c r="Z31" i="2"/>
  <c r="AA31" i="2" s="1"/>
  <c r="AA41" i="2" s="1"/>
  <c r="Y31" i="2"/>
  <c r="Y41" i="2" s="1"/>
  <c r="F31" i="2"/>
  <c r="G31" i="2" s="1"/>
  <c r="H31" i="2" s="1"/>
  <c r="Y30" i="2"/>
  <c r="Y40" i="2" s="1"/>
  <c r="G30" i="2"/>
  <c r="H30" i="2" s="1"/>
  <c r="F30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Y15" i="2"/>
  <c r="X15" i="2"/>
  <c r="W15" i="2"/>
  <c r="S15" i="2"/>
  <c r="O15" i="2"/>
  <c r="AG14" i="2"/>
  <c r="AG15" i="2" s="1"/>
  <c r="AF14" i="2"/>
  <c r="AF15" i="2" s="1"/>
  <c r="AE14" i="2"/>
  <c r="AE15" i="2" s="1"/>
  <c r="AC14" i="2"/>
  <c r="AB14" i="2"/>
  <c r="AA14" i="2"/>
  <c r="Z14" i="2"/>
  <c r="Y14" i="2"/>
  <c r="X14" i="2"/>
  <c r="W14" i="2"/>
  <c r="T14" i="2"/>
  <c r="T15" i="2" s="1"/>
  <c r="S14" i="2"/>
  <c r="R14" i="2"/>
  <c r="R15" i="2" s="1"/>
  <c r="P14" i="2"/>
  <c r="P15" i="2" s="1"/>
  <c r="O14" i="2"/>
  <c r="AG13" i="2"/>
  <c r="AF13" i="2"/>
  <c r="AE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AD11" i="2"/>
  <c r="H11" i="2"/>
  <c r="F11" i="2"/>
  <c r="AD10" i="2"/>
  <c r="H10" i="2" s="1"/>
  <c r="F10" i="2"/>
  <c r="AD9" i="2"/>
  <c r="AD13" i="2" s="1"/>
  <c r="H9" i="2"/>
  <c r="F9" i="2"/>
  <c r="E9" i="2"/>
  <c r="D9" i="2"/>
  <c r="AD8" i="2"/>
  <c r="H8" i="2" s="1"/>
  <c r="F8" i="2"/>
  <c r="AD7" i="2"/>
  <c r="H7" i="2"/>
  <c r="F7" i="2"/>
  <c r="AD6" i="2"/>
  <c r="AD14" i="2" s="1"/>
  <c r="H6" i="2"/>
  <c r="F6" i="2"/>
  <c r="D6" i="2"/>
  <c r="E6" i="2" s="1"/>
  <c r="M47" i="1"/>
  <c r="Y46" i="1"/>
  <c r="X46" i="1"/>
  <c r="W46" i="1"/>
  <c r="V46" i="1"/>
  <c r="X45" i="1"/>
  <c r="W45" i="1"/>
  <c r="V45" i="1"/>
  <c r="U45" i="1"/>
  <c r="T45" i="1"/>
  <c r="S45" i="1"/>
  <c r="R45" i="1"/>
  <c r="Q45" i="1"/>
  <c r="P45" i="1"/>
  <c r="O45" i="1"/>
  <c r="N45" i="1"/>
  <c r="M45" i="1"/>
  <c r="X44" i="1"/>
  <c r="W44" i="1"/>
  <c r="W47" i="1" s="1"/>
  <c r="V44" i="1"/>
  <c r="U44" i="1"/>
  <c r="T44" i="1"/>
  <c r="S44" i="1"/>
  <c r="R44" i="1"/>
  <c r="Q44" i="1"/>
  <c r="P44" i="1"/>
  <c r="O44" i="1"/>
  <c r="N44" i="1"/>
  <c r="M44" i="1"/>
  <c r="X43" i="1"/>
  <c r="W43" i="1"/>
  <c r="V43" i="1"/>
  <c r="U43" i="1"/>
  <c r="U47" i="1" s="1"/>
  <c r="T43" i="1"/>
  <c r="S43" i="1"/>
  <c r="R43" i="1"/>
  <c r="Q43" i="1"/>
  <c r="P43" i="1"/>
  <c r="O43" i="1"/>
  <c r="N43" i="1"/>
  <c r="M43" i="1"/>
  <c r="X42" i="1"/>
  <c r="W42" i="1"/>
  <c r="V42" i="1"/>
  <c r="U42" i="1"/>
  <c r="T42" i="1"/>
  <c r="S42" i="1"/>
  <c r="S47" i="1" s="1"/>
  <c r="R42" i="1"/>
  <c r="Q42" i="1"/>
  <c r="P42" i="1"/>
  <c r="O42" i="1"/>
  <c r="N42" i="1"/>
  <c r="M42" i="1"/>
  <c r="X41" i="1"/>
  <c r="W41" i="1"/>
  <c r="V41" i="1"/>
  <c r="U41" i="1"/>
  <c r="T41" i="1"/>
  <c r="S41" i="1"/>
  <c r="R41" i="1"/>
  <c r="Q41" i="1"/>
  <c r="Q47" i="1" s="1"/>
  <c r="P41" i="1"/>
  <c r="O41" i="1"/>
  <c r="N41" i="1"/>
  <c r="M41" i="1"/>
  <c r="X40" i="1"/>
  <c r="W40" i="1"/>
  <c r="V40" i="1"/>
  <c r="U40" i="1"/>
  <c r="T40" i="1"/>
  <c r="S40" i="1"/>
  <c r="R40" i="1"/>
  <c r="R47" i="1" s="1"/>
  <c r="Q40" i="1"/>
  <c r="P40" i="1"/>
  <c r="P47" i="1" s="1"/>
  <c r="O40" i="1"/>
  <c r="O47" i="1" s="1"/>
  <c r="N40" i="1"/>
  <c r="N47" i="1" s="1"/>
  <c r="M40" i="1"/>
  <c r="X37" i="1"/>
  <c r="W37" i="1"/>
  <c r="V37" i="1"/>
  <c r="U37" i="1"/>
  <c r="T37" i="1"/>
  <c r="S37" i="1"/>
  <c r="R37" i="1"/>
  <c r="Q37" i="1"/>
  <c r="P37" i="1"/>
  <c r="O37" i="1"/>
  <c r="N37" i="1"/>
  <c r="M37" i="1"/>
  <c r="Z36" i="1"/>
  <c r="AA36" i="1" s="1"/>
  <c r="Y36" i="1"/>
  <c r="P36" i="1"/>
  <c r="G36" i="1"/>
  <c r="H36" i="1" s="1"/>
  <c r="F36" i="1"/>
  <c r="Y35" i="1"/>
  <c r="Z35" i="1" s="1"/>
  <c r="F35" i="1"/>
  <c r="G35" i="1" s="1"/>
  <c r="H35" i="1" s="1"/>
  <c r="Y34" i="1"/>
  <c r="G34" i="1"/>
  <c r="H34" i="1" s="1"/>
  <c r="F34" i="1"/>
  <c r="Z33" i="1"/>
  <c r="Y33" i="1"/>
  <c r="Y43" i="1" s="1"/>
  <c r="F33" i="1"/>
  <c r="G33" i="1" s="1"/>
  <c r="H33" i="1" s="1"/>
  <c r="AA32" i="1"/>
  <c r="Y32" i="1"/>
  <c r="Z32" i="1" s="1"/>
  <c r="Z42" i="1" s="1"/>
  <c r="G32" i="1"/>
  <c r="H32" i="1" s="1"/>
  <c r="F32" i="1"/>
  <c r="Z31" i="1"/>
  <c r="AA31" i="1" s="1"/>
  <c r="AA41" i="1" s="1"/>
  <c r="Y31" i="1"/>
  <c r="Y41" i="1" s="1"/>
  <c r="F31" i="1"/>
  <c r="G31" i="1" s="1"/>
  <c r="H31" i="1" s="1"/>
  <c r="Y30" i="1"/>
  <c r="Y40" i="1" s="1"/>
  <c r="G30" i="1"/>
  <c r="H30" i="1" s="1"/>
  <c r="F30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Y15" i="1"/>
  <c r="X15" i="1"/>
  <c r="W15" i="1"/>
  <c r="S15" i="1"/>
  <c r="O15" i="1"/>
  <c r="AG14" i="1"/>
  <c r="AG15" i="1" s="1"/>
  <c r="AF14" i="1"/>
  <c r="AF15" i="1" s="1"/>
  <c r="AE14" i="1"/>
  <c r="AE15" i="1" s="1"/>
  <c r="AB14" i="1"/>
  <c r="Z14" i="1"/>
  <c r="Y14" i="1"/>
  <c r="X14" i="1"/>
  <c r="W14" i="1"/>
  <c r="T14" i="1"/>
  <c r="T15" i="1" s="1"/>
  <c r="S14" i="1"/>
  <c r="R14" i="1"/>
  <c r="R15" i="1" s="1"/>
  <c r="P14" i="1"/>
  <c r="P15" i="1" s="1"/>
  <c r="O14" i="1"/>
  <c r="AG13" i="1"/>
  <c r="AF13" i="1"/>
  <c r="AE13" i="1"/>
  <c r="AC13" i="1"/>
  <c r="AB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AD11" i="1"/>
  <c r="H11" i="1"/>
  <c r="F11" i="1"/>
  <c r="AD10" i="1"/>
  <c r="H10" i="1" s="1"/>
  <c r="F10" i="1"/>
  <c r="AD9" i="1"/>
  <c r="AD13" i="1" s="1"/>
  <c r="H9" i="1"/>
  <c r="F9" i="1"/>
  <c r="E9" i="1"/>
  <c r="D9" i="1"/>
  <c r="AD8" i="1"/>
  <c r="H8" i="1" s="1"/>
  <c r="F8" i="1"/>
  <c r="AD7" i="1"/>
  <c r="H7" i="1"/>
  <c r="F7" i="1"/>
  <c r="AD6" i="1"/>
  <c r="H6" i="1" s="1"/>
  <c r="AC6" i="1"/>
  <c r="AC14" i="1" s="1"/>
  <c r="AA6" i="1"/>
  <c r="F6" i="1"/>
  <c r="D6" i="1"/>
  <c r="E6" i="1" s="1"/>
  <c r="AA13" i="1" l="1"/>
  <c r="AA14" i="1"/>
  <c r="AB31" i="1"/>
  <c r="Y44" i="2"/>
  <c r="Y37" i="2"/>
  <c r="Z34" i="2"/>
  <c r="Z36" i="3"/>
  <c r="Y46" i="3"/>
  <c r="Z45" i="1"/>
  <c r="AA35" i="1"/>
  <c r="T47" i="1"/>
  <c r="Z45" i="3"/>
  <c r="AA35" i="3"/>
  <c r="AA42" i="1"/>
  <c r="AB32" i="1"/>
  <c r="AA42" i="2"/>
  <c r="AB32" i="2"/>
  <c r="AB31" i="2"/>
  <c r="V47" i="1"/>
  <c r="Z34" i="1"/>
  <c r="Y37" i="1"/>
  <c r="Y44" i="1"/>
  <c r="AB36" i="1"/>
  <c r="AA46" i="1"/>
  <c r="AA33" i="1"/>
  <c r="Z43" i="1"/>
  <c r="X47" i="1"/>
  <c r="AA33" i="2"/>
  <c r="Z43" i="2"/>
  <c r="Z44" i="3"/>
  <c r="AA34" i="3"/>
  <c r="W37" i="4"/>
  <c r="Y45" i="1"/>
  <c r="P47" i="2"/>
  <c r="X80" i="8"/>
  <c r="Y60" i="8"/>
  <c r="Z46" i="1"/>
  <c r="Z33" i="3"/>
  <c r="Y43" i="3"/>
  <c r="AA13" i="5"/>
  <c r="W73" i="8"/>
  <c r="W84" i="8" s="1"/>
  <c r="X53" i="8"/>
  <c r="W64" i="8"/>
  <c r="X74" i="9"/>
  <c r="Y54" i="9"/>
  <c r="Z35" i="2"/>
  <c r="R47" i="2"/>
  <c r="O47" i="3"/>
  <c r="X46" i="3"/>
  <c r="S84" i="8"/>
  <c r="Y14" i="3"/>
  <c r="Y15" i="3" s="1"/>
  <c r="X14" i="5"/>
  <c r="X15" i="5" s="1"/>
  <c r="X14" i="4"/>
  <c r="X15" i="4" s="1"/>
  <c r="W45" i="4"/>
  <c r="X35" i="4"/>
  <c r="G92" i="7"/>
  <c r="J86" i="7"/>
  <c r="M14" i="1"/>
  <c r="M15" i="1" s="1"/>
  <c r="AA36" i="2"/>
  <c r="P47" i="3"/>
  <c r="Q47" i="4"/>
  <c r="V41" i="5"/>
  <c r="W31" i="5"/>
  <c r="G31" i="5"/>
  <c r="L47" i="5"/>
  <c r="G54" i="7"/>
  <c r="AA48" i="8"/>
  <c r="Z68" i="8"/>
  <c r="Y30" i="3"/>
  <c r="G30" i="5"/>
  <c r="V37" i="5"/>
  <c r="V40" i="5"/>
  <c r="W30" i="5"/>
  <c r="G18" i="7"/>
  <c r="Y42" i="1"/>
  <c r="Y47" i="1" s="1"/>
  <c r="Y42" i="2"/>
  <c r="Y47" i="2" s="1"/>
  <c r="R47" i="3"/>
  <c r="N47" i="5"/>
  <c r="G36" i="7"/>
  <c r="J54" i="7"/>
  <c r="T47" i="5"/>
  <c r="X37" i="3"/>
  <c r="S47" i="3"/>
  <c r="U47" i="3"/>
  <c r="X41" i="4"/>
  <c r="Y31" i="4"/>
  <c r="W34" i="5"/>
  <c r="V44" i="5"/>
  <c r="G34" i="5"/>
  <c r="G63" i="7"/>
  <c r="G72" i="7"/>
  <c r="J66" i="7"/>
  <c r="J72" i="7" s="1"/>
  <c r="J82" i="7"/>
  <c r="Y50" i="8"/>
  <c r="X70" i="8"/>
  <c r="X40" i="3"/>
  <c r="X47" i="3" s="1"/>
  <c r="Z30" i="1"/>
  <c r="Z30" i="2"/>
  <c r="T47" i="3"/>
  <c r="Y44" i="3"/>
  <c r="Y32" i="5"/>
  <c r="X42" i="5"/>
  <c r="L76" i="7"/>
  <c r="M76" i="7" s="1"/>
  <c r="N79" i="7" s="1"/>
  <c r="X55" i="8"/>
  <c r="W75" i="8"/>
  <c r="Z76" i="9"/>
  <c r="AA56" i="9"/>
  <c r="M14" i="3"/>
  <c r="M15" i="3" s="1"/>
  <c r="L14" i="5"/>
  <c r="L15" i="5" s="1"/>
  <c r="L14" i="4"/>
  <c r="L15" i="4" s="1"/>
  <c r="Z41" i="1"/>
  <c r="X47" i="2"/>
  <c r="Z41" i="2"/>
  <c r="Y41" i="3"/>
  <c r="Z31" i="3"/>
  <c r="U8" i="23"/>
  <c r="H10" i="4"/>
  <c r="X45" i="5"/>
  <c r="Y35" i="5"/>
  <c r="Z62" i="8"/>
  <c r="Y82" i="8"/>
  <c r="W42" i="4"/>
  <c r="X32" i="4"/>
  <c r="AD14" i="1"/>
  <c r="M47" i="2"/>
  <c r="V47" i="3"/>
  <c r="X34" i="4"/>
  <c r="W33" i="4"/>
  <c r="V42" i="5"/>
  <c r="E55" i="8"/>
  <c r="W83" i="9"/>
  <c r="X63" i="9"/>
  <c r="V54" i="11"/>
  <c r="U74" i="11"/>
  <c r="U84" i="8"/>
  <c r="W84" i="10"/>
  <c r="Y52" i="10"/>
  <c r="X72" i="10"/>
  <c r="Y56" i="10"/>
  <c r="X76" i="10"/>
  <c r="V45" i="5"/>
  <c r="AC59" i="8"/>
  <c r="AB79" i="8"/>
  <c r="X22" i="8"/>
  <c r="W77" i="8"/>
  <c r="X57" i="8"/>
  <c r="Q84" i="9"/>
  <c r="Q84" i="10"/>
  <c r="U11" i="23"/>
  <c r="V13" i="4"/>
  <c r="G33" i="5"/>
  <c r="X59" i="8"/>
  <c r="W79" i="8"/>
  <c r="X68" i="8"/>
  <c r="I28" i="12"/>
  <c r="W13" i="4"/>
  <c r="X36" i="4"/>
  <c r="AA52" i="8"/>
  <c r="Z72" i="8"/>
  <c r="Z61" i="8"/>
  <c r="Y81" i="8"/>
  <c r="Y68" i="8"/>
  <c r="W33" i="5"/>
  <c r="J57" i="7"/>
  <c r="J63" i="7" s="1"/>
  <c r="Y51" i="8"/>
  <c r="X54" i="8"/>
  <c r="W74" i="8"/>
  <c r="Y58" i="9"/>
  <c r="Y13" i="4"/>
  <c r="G82" i="7"/>
  <c r="L84" i="8"/>
  <c r="Z32" i="3"/>
  <c r="Z13" i="4"/>
  <c r="G35" i="5"/>
  <c r="W76" i="8"/>
  <c r="X56" i="8"/>
  <c r="M84" i="8"/>
  <c r="Y50" i="10"/>
  <c r="X70" i="10"/>
  <c r="Y54" i="10"/>
  <c r="X74" i="10"/>
  <c r="Y58" i="10"/>
  <c r="X78" i="10"/>
  <c r="Y62" i="10"/>
  <c r="X82" i="10"/>
  <c r="P64" i="8"/>
  <c r="P68" i="8"/>
  <c r="P84" i="8" s="1"/>
  <c r="X50" i="9"/>
  <c r="Y62" i="9"/>
  <c r="X82" i="9"/>
  <c r="AB13" i="4"/>
  <c r="X30" i="4"/>
  <c r="Q64" i="8"/>
  <c r="Q68" i="8"/>
  <c r="Q84" i="8" s="1"/>
  <c r="X69" i="8"/>
  <c r="Y49" i="8"/>
  <c r="E53" i="8"/>
  <c r="X58" i="8"/>
  <c r="W78" i="8"/>
  <c r="O84" i="8"/>
  <c r="T19" i="23"/>
  <c r="G10" i="11"/>
  <c r="Z25" i="11"/>
  <c r="W74" i="10"/>
  <c r="W82" i="10"/>
  <c r="X83" i="10"/>
  <c r="G19" i="11"/>
  <c r="S84" i="9"/>
  <c r="X69" i="10"/>
  <c r="Y49" i="10"/>
  <c r="X71" i="10"/>
  <c r="Y51" i="10"/>
  <c r="X73" i="10"/>
  <c r="Y53" i="10"/>
  <c r="X75" i="10"/>
  <c r="Y55" i="10"/>
  <c r="X77" i="10"/>
  <c r="Y57" i="10"/>
  <c r="X79" i="10"/>
  <c r="Y59" i="10"/>
  <c r="Y81" i="10"/>
  <c r="Z61" i="10"/>
  <c r="AA83" i="10"/>
  <c r="AB63" i="10"/>
  <c r="Y83" i="10"/>
  <c r="U72" i="11"/>
  <c r="V52" i="11"/>
  <c r="X81" i="10"/>
  <c r="Z83" i="10"/>
  <c r="T22" i="23"/>
  <c r="T34" i="23" s="1"/>
  <c r="G13" i="11"/>
  <c r="U78" i="11"/>
  <c r="V58" i="11"/>
  <c r="W55" i="16"/>
  <c r="V75" i="16"/>
  <c r="T69" i="17"/>
  <c r="U49" i="17"/>
  <c r="W74" i="9"/>
  <c r="W82" i="9"/>
  <c r="X82" i="8"/>
  <c r="W78" i="9"/>
  <c r="W84" i="9" s="1"/>
  <c r="U75" i="11"/>
  <c r="V55" i="11"/>
  <c r="W62" i="11"/>
  <c r="V82" i="11"/>
  <c r="U67" i="11"/>
  <c r="Y63" i="8"/>
  <c r="W72" i="10"/>
  <c r="X3" i="12"/>
  <c r="I19" i="12"/>
  <c r="L42" i="13"/>
  <c r="M32" i="13"/>
  <c r="N34" i="13"/>
  <c r="M44" i="13"/>
  <c r="L35" i="13"/>
  <c r="M29" i="13"/>
  <c r="L39" i="13"/>
  <c r="L84" i="9"/>
  <c r="W64" i="10"/>
  <c r="L84" i="10"/>
  <c r="W76" i="10"/>
  <c r="T24" i="23"/>
  <c r="G15" i="11"/>
  <c r="U73" i="11"/>
  <c r="V53" i="11"/>
  <c r="M84" i="9"/>
  <c r="X48" i="10"/>
  <c r="X60" i="10"/>
  <c r="M84" i="10"/>
  <c r="P18" i="23"/>
  <c r="V25" i="11"/>
  <c r="P67" i="11"/>
  <c r="P71" i="11"/>
  <c r="P87" i="11" s="1"/>
  <c r="U76" i="11"/>
  <c r="V56" i="11"/>
  <c r="W64" i="9"/>
  <c r="U71" i="11"/>
  <c r="V51" i="11"/>
  <c r="X48" i="9"/>
  <c r="X49" i="9"/>
  <c r="X51" i="9"/>
  <c r="X52" i="9"/>
  <c r="X53" i="9"/>
  <c r="X55" i="9"/>
  <c r="X57" i="9"/>
  <c r="X59" i="9"/>
  <c r="X60" i="9"/>
  <c r="X61" i="9"/>
  <c r="U80" i="11"/>
  <c r="V60" i="11"/>
  <c r="U82" i="11"/>
  <c r="P64" i="10"/>
  <c r="G6" i="11"/>
  <c r="G12" i="11"/>
  <c r="X65" i="11"/>
  <c r="W85" i="11"/>
  <c r="M13" i="13"/>
  <c r="N43" i="13"/>
  <c r="M23" i="15"/>
  <c r="L57" i="18"/>
  <c r="K72" i="18"/>
  <c r="W57" i="11"/>
  <c r="V77" i="11"/>
  <c r="V79" i="11"/>
  <c r="W59" i="11"/>
  <c r="W61" i="11"/>
  <c r="V81" i="11"/>
  <c r="V83" i="11"/>
  <c r="W63" i="11"/>
  <c r="S87" i="11"/>
  <c r="G7" i="11"/>
  <c r="T87" i="11"/>
  <c r="V7" i="12"/>
  <c r="X7" i="12" s="1"/>
  <c r="T82" i="17"/>
  <c r="U62" i="17"/>
  <c r="G28" i="12"/>
  <c r="L13" i="13"/>
  <c r="P33" i="13"/>
  <c r="O43" i="13"/>
  <c r="X72" i="16"/>
  <c r="Y52" i="16"/>
  <c r="R80" i="17"/>
  <c r="S60" i="17"/>
  <c r="M40" i="13"/>
  <c r="N30" i="13"/>
  <c r="V81" i="16"/>
  <c r="W61" i="16"/>
  <c r="Q85" i="16"/>
  <c r="L42" i="15"/>
  <c r="O48" i="23"/>
  <c r="R23" i="16"/>
  <c r="T71" i="17"/>
  <c r="U51" i="17"/>
  <c r="G14" i="11"/>
  <c r="V84" i="11"/>
  <c r="W64" i="11"/>
  <c r="K87" i="11"/>
  <c r="D9" i="12"/>
  <c r="V4" i="12"/>
  <c r="X4" i="12" s="1"/>
  <c r="L41" i="13"/>
  <c r="M31" i="13"/>
  <c r="I45" i="13"/>
  <c r="K61" i="18"/>
  <c r="J76" i="18"/>
  <c r="X25" i="11"/>
  <c r="O67" i="11"/>
  <c r="O71" i="11"/>
  <c r="O87" i="11" s="1"/>
  <c r="M87" i="11"/>
  <c r="K45" i="13"/>
  <c r="U71" i="16"/>
  <c r="V51" i="16"/>
  <c r="U23" i="16"/>
  <c r="V72" i="16"/>
  <c r="S53" i="17"/>
  <c r="R73" i="17"/>
  <c r="L58" i="18"/>
  <c r="K73" i="18"/>
  <c r="T77" i="18"/>
  <c r="U62" i="18"/>
  <c r="Q54" i="23"/>
  <c r="I74" i="18"/>
  <c r="J59" i="18"/>
  <c r="S48" i="23"/>
  <c r="V23" i="16"/>
  <c r="U50" i="16"/>
  <c r="U54" i="16"/>
  <c r="U57" i="16"/>
  <c r="U60" i="16"/>
  <c r="U63" i="16"/>
  <c r="S55" i="17"/>
  <c r="S57" i="17"/>
  <c r="L75" i="18"/>
  <c r="M60" i="18"/>
  <c r="V85" i="11"/>
  <c r="K13" i="12"/>
  <c r="K19" i="12" s="1"/>
  <c r="K23" i="15"/>
  <c r="T48" i="23"/>
  <c r="W23" i="16"/>
  <c r="Z23" i="16"/>
  <c r="U76" i="18"/>
  <c r="V61" i="18"/>
  <c r="W66" i="11"/>
  <c r="B23" i="16"/>
  <c r="AA23" i="16"/>
  <c r="T53" i="16"/>
  <c r="W23" i="17"/>
  <c r="T84" i="17"/>
  <c r="U64" i="17"/>
  <c r="N85" i="17"/>
  <c r="K76" i="17"/>
  <c r="K85" i="17" s="1"/>
  <c r="U57" i="18"/>
  <c r="T59" i="16"/>
  <c r="R70" i="17"/>
  <c r="R85" i="17" s="1"/>
  <c r="S50" i="17"/>
  <c r="S59" i="17"/>
  <c r="O85" i="17"/>
  <c r="X57" i="18"/>
  <c r="W72" i="18"/>
  <c r="S82" i="18"/>
  <c r="R82" i="18"/>
  <c r="E34" i="23"/>
  <c r="V5" i="12"/>
  <c r="X5" i="12" s="1"/>
  <c r="W54" i="23"/>
  <c r="O23" i="16"/>
  <c r="V49" i="16"/>
  <c r="U56" i="16"/>
  <c r="U62" i="16"/>
  <c r="M76" i="17"/>
  <c r="M85" i="17" s="1"/>
  <c r="M45" i="17"/>
  <c r="T72" i="17"/>
  <c r="U52" i="17"/>
  <c r="U81" i="17"/>
  <c r="V61" i="17"/>
  <c r="P85" i="17"/>
  <c r="S75" i="18"/>
  <c r="T60" i="18"/>
  <c r="U63" i="18"/>
  <c r="T78" i="18"/>
  <c r="X23" i="17"/>
  <c r="S74" i="17"/>
  <c r="T54" i="17"/>
  <c r="U63" i="17"/>
  <c r="Q85" i="17"/>
  <c r="R71" i="17"/>
  <c r="K62" i="18"/>
  <c r="J77" i="18"/>
  <c r="M85" i="16"/>
  <c r="R23" i="17"/>
  <c r="W58" i="18"/>
  <c r="V73" i="18"/>
  <c r="N85" i="16"/>
  <c r="T75" i="16"/>
  <c r="R65" i="17"/>
  <c r="T76" i="17"/>
  <c r="U56" i="17"/>
  <c r="U58" i="16"/>
  <c r="U64" i="16"/>
  <c r="O85" i="16"/>
  <c r="U58" i="17"/>
  <c r="P34" i="23"/>
  <c r="K18" i="26"/>
  <c r="J63" i="18"/>
  <c r="I78" i="18"/>
  <c r="I82" i="18" s="1"/>
  <c r="F34" i="23"/>
  <c r="R34" i="23"/>
  <c r="R54" i="23"/>
  <c r="G34" i="23"/>
  <c r="S34" i="23"/>
  <c r="P54" i="23"/>
  <c r="L11" i="26"/>
  <c r="K11" i="26"/>
  <c r="N11" i="23"/>
  <c r="H34" i="23"/>
  <c r="H54" i="23"/>
  <c r="T54" i="23"/>
  <c r="J72" i="18"/>
  <c r="P11" i="23"/>
  <c r="V34" i="23"/>
  <c r="O34" i="23"/>
  <c r="U54" i="23"/>
  <c r="O64" i="18"/>
  <c r="O79" i="18" s="1"/>
  <c r="S76" i="18"/>
  <c r="J34" i="23"/>
  <c r="W34" i="23"/>
  <c r="S54" i="23"/>
  <c r="R11" i="23"/>
  <c r="K34" i="23"/>
  <c r="L6" i="26"/>
  <c r="H6" i="26"/>
  <c r="K6" i="26" s="1"/>
  <c r="A14" i="34"/>
  <c r="A15" i="34"/>
  <c r="F11" i="23"/>
  <c r="S11" i="23"/>
  <c r="L54" i="23"/>
  <c r="T64" i="18"/>
  <c r="U65" i="18"/>
  <c r="U66" i="18"/>
  <c r="M11" i="23"/>
  <c r="M34" i="23"/>
  <c r="J30" i="25"/>
  <c r="R78" i="17"/>
  <c r="I67" i="18"/>
  <c r="I68" i="18" s="1"/>
  <c r="N34" i="23"/>
  <c r="U34" i="23"/>
  <c r="S67" i="18"/>
  <c r="S68" i="18" s="1"/>
  <c r="T74" i="18"/>
  <c r="U59" i="18"/>
  <c r="R68" i="18"/>
  <c r="Q82" i="18"/>
  <c r="I11" i="23"/>
  <c r="V11" i="23"/>
  <c r="I34" i="23"/>
  <c r="O54" i="23"/>
  <c r="L19" i="26"/>
  <c r="L21" i="26"/>
  <c r="L25" i="26"/>
  <c r="L58" i="26"/>
  <c r="L64" i="26"/>
  <c r="L68" i="26"/>
  <c r="H30" i="25"/>
  <c r="L36" i="26"/>
  <c r="L48" i="26"/>
  <c r="G54" i="26"/>
  <c r="L10" i="26"/>
  <c r="J14" i="26"/>
  <c r="L23" i="26"/>
  <c r="H5" i="26"/>
  <c r="K5" i="26" s="1"/>
  <c r="H31" i="26"/>
  <c r="K31" i="26" s="1"/>
  <c r="Z26" i="11" l="1"/>
  <c r="Z27" i="11" s="1"/>
  <c r="AA23" i="10"/>
  <c r="AA24" i="10" s="1"/>
  <c r="AA23" i="9"/>
  <c r="AA24" i="9" s="1"/>
  <c r="AA23" i="8"/>
  <c r="AA24" i="8" s="1"/>
  <c r="L72" i="18"/>
  <c r="M57" i="18"/>
  <c r="Y69" i="8"/>
  <c r="Z49" i="8"/>
  <c r="Z52" i="10"/>
  <c r="Y72" i="10"/>
  <c r="U14" i="1"/>
  <c r="U15" i="1" s="1"/>
  <c r="T14" i="4"/>
  <c r="T15" i="4" s="1"/>
  <c r="U14" i="2"/>
  <c r="U15" i="2" s="1"/>
  <c r="T14" i="5"/>
  <c r="T15" i="5" s="1"/>
  <c r="U14" i="3"/>
  <c r="U15" i="3" s="1"/>
  <c r="L61" i="18"/>
  <c r="K76" i="18"/>
  <c r="M42" i="13"/>
  <c r="N32" i="13"/>
  <c r="AA61" i="8"/>
  <c r="Z81" i="8"/>
  <c r="Z32" i="5"/>
  <c r="Y42" i="5"/>
  <c r="AB35" i="1"/>
  <c r="AA45" i="1"/>
  <c r="S26" i="11"/>
  <c r="S27" i="11" s="1"/>
  <c r="T23" i="9"/>
  <c r="T24" i="9" s="1"/>
  <c r="T23" i="10"/>
  <c r="T24" i="10" s="1"/>
  <c r="T23" i="8"/>
  <c r="T24" i="8" s="1"/>
  <c r="U77" i="16"/>
  <c r="V57" i="16"/>
  <c r="X45" i="4"/>
  <c r="Y35" i="4"/>
  <c r="U70" i="16"/>
  <c r="V50" i="16"/>
  <c r="Y77" i="10"/>
  <c r="Z57" i="10"/>
  <c r="Z58" i="10"/>
  <c r="Y78" i="10"/>
  <c r="X73" i="8"/>
  <c r="X84" i="8" s="1"/>
  <c r="Y53" i="8"/>
  <c r="Y64" i="8" s="1"/>
  <c r="V52" i="17"/>
  <c r="U72" i="17"/>
  <c r="Z52" i="16"/>
  <c r="Y72" i="16"/>
  <c r="Y79" i="10"/>
  <c r="Z59" i="10"/>
  <c r="R23" i="10"/>
  <c r="R24" i="10" s="1"/>
  <c r="R23" i="9"/>
  <c r="R24" i="9" s="1"/>
  <c r="Q26" i="11"/>
  <c r="Q27" i="11" s="1"/>
  <c r="R23" i="8"/>
  <c r="R24" i="8" s="1"/>
  <c r="U80" i="18"/>
  <c r="V65" i="18"/>
  <c r="U24" i="17"/>
  <c r="U25" i="17" s="1"/>
  <c r="V24" i="16"/>
  <c r="N26" i="11"/>
  <c r="N27" i="11" s="1"/>
  <c r="O23" i="9"/>
  <c r="O24" i="9" s="1"/>
  <c r="O23" i="10"/>
  <c r="O24" i="10" s="1"/>
  <c r="O23" i="8"/>
  <c r="O24" i="8" s="1"/>
  <c r="K63" i="18"/>
  <c r="J78" i="18"/>
  <c r="X72" i="18"/>
  <c r="Y57" i="18"/>
  <c r="M41" i="13"/>
  <c r="N31" i="13"/>
  <c r="Q33" i="13"/>
  <c r="P43" i="13"/>
  <c r="X79" i="9"/>
  <c r="Y59" i="9"/>
  <c r="AB52" i="8"/>
  <c r="AA72" i="8"/>
  <c r="X77" i="8"/>
  <c r="Y57" i="8"/>
  <c r="X42" i="4"/>
  <c r="Y32" i="4"/>
  <c r="X34" i="5"/>
  <c r="W44" i="5"/>
  <c r="AA44" i="3"/>
  <c r="AB34" i="3"/>
  <c r="AA34" i="1"/>
  <c r="Z44" i="1"/>
  <c r="Z62" i="10"/>
  <c r="Y82" i="10"/>
  <c r="AC36" i="1"/>
  <c r="AB46" i="1"/>
  <c r="U74" i="16"/>
  <c r="V54" i="16"/>
  <c r="W83" i="11"/>
  <c r="X63" i="11"/>
  <c r="V66" i="18"/>
  <c r="U81" i="18"/>
  <c r="U64" i="18"/>
  <c r="T79" i="18"/>
  <c r="AD23" i="10"/>
  <c r="AD24" i="10" s="1"/>
  <c r="AC26" i="11"/>
  <c r="AC27" i="11" s="1"/>
  <c r="AD23" i="9"/>
  <c r="AD24" i="9" s="1"/>
  <c r="AD23" i="8"/>
  <c r="AD24" i="8" s="1"/>
  <c r="U14" i="5"/>
  <c r="U15" i="5" s="1"/>
  <c r="U14" i="4"/>
  <c r="U15" i="4" s="1"/>
  <c r="V14" i="2"/>
  <c r="V15" i="2" s="1"/>
  <c r="V14" i="3"/>
  <c r="V15" i="3" s="1"/>
  <c r="V14" i="1"/>
  <c r="V15" i="1" s="1"/>
  <c r="T67" i="18"/>
  <c r="T68" i="18" s="1"/>
  <c r="U82" i="16"/>
  <c r="V62" i="16"/>
  <c r="U53" i="16"/>
  <c r="T73" i="16"/>
  <c r="W51" i="16"/>
  <c r="V71" i="16"/>
  <c r="X61" i="11"/>
  <c r="W81" i="11"/>
  <c r="X77" i="9"/>
  <c r="Y57" i="9"/>
  <c r="X9" i="12"/>
  <c r="Y75" i="10"/>
  <c r="Z55" i="10"/>
  <c r="X40" i="4"/>
  <c r="Y30" i="4"/>
  <c r="Z54" i="10"/>
  <c r="Y74" i="10"/>
  <c r="Y78" i="9"/>
  <c r="Z58" i="9"/>
  <c r="X46" i="4"/>
  <c r="Y36" i="4"/>
  <c r="W54" i="11"/>
  <c r="V74" i="11"/>
  <c r="AA30" i="2"/>
  <c r="Z37" i="2"/>
  <c r="Z40" i="2"/>
  <c r="Y41" i="4"/>
  <c r="Z31" i="4"/>
  <c r="W41" i="5"/>
  <c r="X31" i="5"/>
  <c r="AA36" i="3"/>
  <c r="Z46" i="3"/>
  <c r="AC14" i="5"/>
  <c r="AC15" i="5" s="1"/>
  <c r="AC14" i="4"/>
  <c r="AC15" i="4" s="1"/>
  <c r="AD14" i="3"/>
  <c r="AD15" i="3" s="1"/>
  <c r="V75" i="11"/>
  <c r="W55" i="11"/>
  <c r="AA68" i="8"/>
  <c r="AB48" i="8"/>
  <c r="K24" i="16"/>
  <c r="K25" i="16" s="1"/>
  <c r="J24" i="17"/>
  <c r="J25" i="17" s="1"/>
  <c r="X80" i="9"/>
  <c r="Y60" i="9"/>
  <c r="U74" i="18"/>
  <c r="V59" i="18"/>
  <c r="O24" i="16"/>
  <c r="O25" i="16" s="1"/>
  <c r="N24" i="17"/>
  <c r="N25" i="17" s="1"/>
  <c r="Q23" i="10"/>
  <c r="Q24" i="10" s="1"/>
  <c r="Q23" i="9"/>
  <c r="Q24" i="9" s="1"/>
  <c r="P26" i="11"/>
  <c r="P27" i="11" s="1"/>
  <c r="Q23" i="8"/>
  <c r="Q24" i="8" s="1"/>
  <c r="W23" i="10"/>
  <c r="W24" i="10" s="1"/>
  <c r="W23" i="8"/>
  <c r="W24" i="8" s="1"/>
  <c r="V26" i="11"/>
  <c r="V27" i="11" s="1"/>
  <c r="W23" i="9"/>
  <c r="W24" i="9" s="1"/>
  <c r="U76" i="16"/>
  <c r="V56" i="16"/>
  <c r="T59" i="17"/>
  <c r="S79" i="17"/>
  <c r="T65" i="16"/>
  <c r="J74" i="18"/>
  <c r="J82" i="18" s="1"/>
  <c r="K59" i="18"/>
  <c r="J67" i="18"/>
  <c r="J68" i="18" s="1"/>
  <c r="W79" i="11"/>
  <c r="X59" i="11"/>
  <c r="X75" i="9"/>
  <c r="Y55" i="9"/>
  <c r="V72" i="11"/>
  <c r="W52" i="11"/>
  <c r="Y63" i="9"/>
  <c r="X83" i="9"/>
  <c r="AA30" i="1"/>
  <c r="Z37" i="1"/>
  <c r="Z40" i="1"/>
  <c r="Z47" i="1" s="1"/>
  <c r="W37" i="5"/>
  <c r="W40" i="5"/>
  <c r="W47" i="5" s="1"/>
  <c r="X30" i="5"/>
  <c r="AC31" i="2"/>
  <c r="AB41" i="2"/>
  <c r="Z44" i="2"/>
  <c r="AA34" i="2"/>
  <c r="G55" i="26"/>
  <c r="H55" i="26" s="1"/>
  <c r="H54" i="26"/>
  <c r="O34" i="13"/>
  <c r="N44" i="13"/>
  <c r="Z42" i="3"/>
  <c r="AA32" i="3"/>
  <c r="AA14" i="3"/>
  <c r="AA15" i="3" s="1"/>
  <c r="Z14" i="5"/>
  <c r="Z15" i="5" s="1"/>
  <c r="Z14" i="4"/>
  <c r="Z15" i="4" s="1"/>
  <c r="U78" i="17"/>
  <c r="V58" i="17"/>
  <c r="W73" i="18"/>
  <c r="X58" i="18"/>
  <c r="U78" i="18"/>
  <c r="V63" i="18"/>
  <c r="W49" i="16"/>
  <c r="V69" i="16"/>
  <c r="T50" i="17"/>
  <c r="S70" i="17"/>
  <c r="S65" i="17"/>
  <c r="M75" i="18"/>
  <c r="N60" i="18"/>
  <c r="W81" i="16"/>
  <c r="X61" i="16"/>
  <c r="U82" i="17"/>
  <c r="V62" i="17"/>
  <c r="Y65" i="11"/>
  <c r="X85" i="11"/>
  <c r="X73" i="9"/>
  <c r="Y53" i="9"/>
  <c r="Z63" i="8"/>
  <c r="Y83" i="8"/>
  <c r="Y73" i="10"/>
  <c r="Z53" i="10"/>
  <c r="Z50" i="10"/>
  <c r="Y70" i="10"/>
  <c r="Y54" i="8"/>
  <c r="X74" i="8"/>
  <c r="AA62" i="8"/>
  <c r="Z82" i="8"/>
  <c r="V47" i="5"/>
  <c r="AB33" i="2"/>
  <c r="AA43" i="2"/>
  <c r="AB42" i="2"/>
  <c r="AC32" i="2"/>
  <c r="V73" i="11"/>
  <c r="W53" i="11"/>
  <c r="U83" i="17"/>
  <c r="V63" i="17"/>
  <c r="AA26" i="11"/>
  <c r="AA27" i="11" s="1"/>
  <c r="AB23" i="10"/>
  <c r="AB24" i="10" s="1"/>
  <c r="AB23" i="9"/>
  <c r="AB24" i="9" s="1"/>
  <c r="AB23" i="8"/>
  <c r="AB24" i="8" s="1"/>
  <c r="N14" i="3"/>
  <c r="N15" i="3" s="1"/>
  <c r="M14" i="5"/>
  <c r="M15" i="5" s="1"/>
  <c r="M14" i="4"/>
  <c r="M15" i="4" s="1"/>
  <c r="N14" i="2"/>
  <c r="N15" i="2" s="1"/>
  <c r="N14" i="1"/>
  <c r="N15" i="1" s="1"/>
  <c r="R24" i="17"/>
  <c r="R25" i="17" s="1"/>
  <c r="S24" i="16"/>
  <c r="S25" i="16" s="1"/>
  <c r="U60" i="18"/>
  <c r="T75" i="18"/>
  <c r="T82" i="18" s="1"/>
  <c r="S24" i="17"/>
  <c r="S25" i="17" s="1"/>
  <c r="T24" i="16"/>
  <c r="T25" i="16" s="1"/>
  <c r="X72" i="9"/>
  <c r="Y52" i="9"/>
  <c r="V49" i="17"/>
  <c r="U69" i="17"/>
  <c r="Z62" i="9"/>
  <c r="Y82" i="9"/>
  <c r="Y71" i="8"/>
  <c r="Z51" i="8"/>
  <c r="AC79" i="8"/>
  <c r="AD59" i="8"/>
  <c r="Y45" i="5"/>
  <c r="Z35" i="5"/>
  <c r="AA76" i="9"/>
  <c r="AB56" i="9"/>
  <c r="Z43" i="3"/>
  <c r="AA33" i="3"/>
  <c r="T26" i="11"/>
  <c r="T27" i="11" s="1"/>
  <c r="U23" i="10"/>
  <c r="U24" i="10" s="1"/>
  <c r="U23" i="8"/>
  <c r="U24" i="8" s="1"/>
  <c r="U23" i="9"/>
  <c r="U24" i="9" s="1"/>
  <c r="X24" i="16"/>
  <c r="W24" i="17"/>
  <c r="W25" i="17" s="1"/>
  <c r="Y26" i="11"/>
  <c r="Y27" i="11" s="1"/>
  <c r="Z23" i="10"/>
  <c r="Z24" i="10" s="1"/>
  <c r="Z23" i="9"/>
  <c r="Z24" i="9" s="1"/>
  <c r="Z23" i="8"/>
  <c r="Z24" i="8" s="1"/>
  <c r="Z24" i="16"/>
  <c r="Y24" i="17"/>
  <c r="Y25" i="17" s="1"/>
  <c r="T79" i="16"/>
  <c r="U59" i="16"/>
  <c r="W86" i="11"/>
  <c r="X66" i="11"/>
  <c r="S77" i="17"/>
  <c r="T57" i="17"/>
  <c r="V62" i="18"/>
  <c r="U77" i="18"/>
  <c r="X64" i="11"/>
  <c r="W84" i="11"/>
  <c r="N40" i="13"/>
  <c r="O30" i="13"/>
  <c r="X57" i="11"/>
  <c r="W77" i="11"/>
  <c r="X71" i="9"/>
  <c r="Y51" i="9"/>
  <c r="L45" i="13"/>
  <c r="V9" i="12"/>
  <c r="AB83" i="10"/>
  <c r="AC63" i="10"/>
  <c r="Y71" i="10"/>
  <c r="Z51" i="10"/>
  <c r="X70" i="9"/>
  <c r="Y50" i="9"/>
  <c r="Y56" i="8"/>
  <c r="X76" i="8"/>
  <c r="Y70" i="8"/>
  <c r="Z50" i="8"/>
  <c r="AB36" i="2"/>
  <c r="AA46" i="2"/>
  <c r="AB42" i="1"/>
  <c r="AC32" i="1"/>
  <c r="AC31" i="1"/>
  <c r="AB41" i="1"/>
  <c r="M23" i="9"/>
  <c r="M24" i="9" s="1"/>
  <c r="L26" i="11"/>
  <c r="L27" i="11" s="1"/>
  <c r="M23" i="10"/>
  <c r="M24" i="10" s="1"/>
  <c r="M23" i="8"/>
  <c r="M24" i="8" s="1"/>
  <c r="V51" i="17"/>
  <c r="U71" i="17"/>
  <c r="AC14" i="3"/>
  <c r="AC15" i="3" s="1"/>
  <c r="AB14" i="5"/>
  <c r="AB15" i="5" s="1"/>
  <c r="AB14" i="4"/>
  <c r="AB15" i="4" s="1"/>
  <c r="W24" i="16"/>
  <c r="V24" i="17"/>
  <c r="V25" i="17" s="1"/>
  <c r="T53" i="17"/>
  <c r="S73" i="17"/>
  <c r="Z14" i="3"/>
  <c r="Z15" i="3" s="1"/>
  <c r="Y14" i="5"/>
  <c r="Y15" i="5" s="1"/>
  <c r="Y14" i="4"/>
  <c r="Y15" i="4" s="1"/>
  <c r="T74" i="17"/>
  <c r="U54" i="17"/>
  <c r="U26" i="11"/>
  <c r="U27" i="11" s="1"/>
  <c r="V23" i="10"/>
  <c r="V24" i="10" s="1"/>
  <c r="V23" i="8"/>
  <c r="V24" i="8" s="1"/>
  <c r="V23" i="9"/>
  <c r="V24" i="9" s="1"/>
  <c r="M26" i="11"/>
  <c r="M27" i="11" s="1"/>
  <c r="N23" i="9"/>
  <c r="N24" i="9" s="1"/>
  <c r="N23" i="10"/>
  <c r="N24" i="10" s="1"/>
  <c r="N23" i="8"/>
  <c r="N24" i="8" s="1"/>
  <c r="U84" i="16"/>
  <c r="V64" i="16"/>
  <c r="U65" i="16"/>
  <c r="T55" i="17"/>
  <c r="S75" i="17"/>
  <c r="X69" i="9"/>
  <c r="Y49" i="9"/>
  <c r="X80" i="10"/>
  <c r="Y60" i="10"/>
  <c r="M35" i="13"/>
  <c r="N29" i="13"/>
  <c r="M39" i="13"/>
  <c r="W43" i="5"/>
  <c r="X33" i="5"/>
  <c r="Y59" i="8"/>
  <c r="Y79" i="8" s="1"/>
  <c r="X79" i="8"/>
  <c r="X33" i="4"/>
  <c r="W43" i="4"/>
  <c r="W47" i="4" s="1"/>
  <c r="Y40" i="3"/>
  <c r="Y47" i="3" s="1"/>
  <c r="Y37" i="3"/>
  <c r="Z30" i="3"/>
  <c r="Y80" i="8"/>
  <c r="Z60" i="8"/>
  <c r="U87" i="11"/>
  <c r="Q14" i="3"/>
  <c r="Q15" i="3" s="1"/>
  <c r="P14" i="5"/>
  <c r="P15" i="5" s="1"/>
  <c r="P14" i="4"/>
  <c r="P15" i="4" s="1"/>
  <c r="Q14" i="2"/>
  <c r="Q15" i="2" s="1"/>
  <c r="Q14" i="1"/>
  <c r="Q15" i="1" s="1"/>
  <c r="V64" i="17"/>
  <c r="U84" i="17"/>
  <c r="X81" i="9"/>
  <c r="Y61" i="9"/>
  <c r="L14" i="26"/>
  <c r="K14" i="26"/>
  <c r="Q24" i="17"/>
  <c r="Q25" i="17" s="1"/>
  <c r="R24" i="16"/>
  <c r="R25" i="16" s="1"/>
  <c r="AC23" i="10"/>
  <c r="AC24" i="10" s="1"/>
  <c r="AB26" i="11"/>
  <c r="AB27" i="11" s="1"/>
  <c r="AC23" i="9"/>
  <c r="AC24" i="9" s="1"/>
  <c r="AC23" i="8"/>
  <c r="AC24" i="8" s="1"/>
  <c r="U24" i="16"/>
  <c r="T24" i="17"/>
  <c r="T25" i="17" s="1"/>
  <c r="U78" i="16"/>
  <c r="V58" i="16"/>
  <c r="K77" i="18"/>
  <c r="L62" i="18"/>
  <c r="W61" i="17"/>
  <c r="V81" i="17"/>
  <c r="L23" i="10"/>
  <c r="L24" i="10" s="1"/>
  <c r="L23" i="9"/>
  <c r="L24" i="9" s="1"/>
  <c r="K26" i="11"/>
  <c r="K27" i="11" s="1"/>
  <c r="L23" i="8"/>
  <c r="L24" i="8" s="1"/>
  <c r="U67" i="18"/>
  <c r="U68" i="18" s="1"/>
  <c r="U72" i="18"/>
  <c r="V76" i="18"/>
  <c r="W61" i="18"/>
  <c r="U83" i="16"/>
  <c r="V63" i="16"/>
  <c r="S80" i="17"/>
  <c r="T60" i="17"/>
  <c r="X68" i="9"/>
  <c r="X64" i="9"/>
  <c r="Y48" i="9"/>
  <c r="X64" i="10"/>
  <c r="Y48" i="10"/>
  <c r="X68" i="10"/>
  <c r="X55" i="16"/>
  <c r="W75" i="16"/>
  <c r="Z81" i="10"/>
  <c r="AA61" i="10"/>
  <c r="Y69" i="10"/>
  <c r="Z49" i="10"/>
  <c r="Y58" i="8"/>
  <c r="X78" i="8"/>
  <c r="Z56" i="10"/>
  <c r="Y76" i="10"/>
  <c r="Y34" i="4"/>
  <c r="X44" i="4"/>
  <c r="Y55" i="8"/>
  <c r="X75" i="8"/>
  <c r="J92" i="7"/>
  <c r="L86" i="7"/>
  <c r="M86" i="7" s="1"/>
  <c r="N89" i="7" s="1"/>
  <c r="Z45" i="2"/>
  <c r="AA35" i="2"/>
  <c r="AA43" i="1"/>
  <c r="AB33" i="1"/>
  <c r="AA45" i="3"/>
  <c r="AB35" i="3"/>
  <c r="V76" i="11"/>
  <c r="W56" i="11"/>
  <c r="O26" i="11"/>
  <c r="O27" i="11" s="1"/>
  <c r="P23" i="10"/>
  <c r="P24" i="10" s="1"/>
  <c r="P23" i="9"/>
  <c r="P24" i="9" s="1"/>
  <c r="P23" i="8"/>
  <c r="P24" i="8" s="1"/>
  <c r="W14" i="5"/>
  <c r="W15" i="5" s="1"/>
  <c r="X14" i="3"/>
  <c r="X15" i="3" s="1"/>
  <c r="W14" i="4"/>
  <c r="W15" i="4" s="1"/>
  <c r="X26" i="11"/>
  <c r="X27" i="11" s="1"/>
  <c r="Y23" i="10"/>
  <c r="Y24" i="10" s="1"/>
  <c r="Y23" i="9"/>
  <c r="Y24" i="9" s="1"/>
  <c r="Y23" i="8"/>
  <c r="Y24" i="8" s="1"/>
  <c r="U76" i="17"/>
  <c r="V56" i="17"/>
  <c r="U80" i="16"/>
  <c r="V60" i="16"/>
  <c r="L73" i="18"/>
  <c r="M58" i="18"/>
  <c r="V80" i="11"/>
  <c r="W60" i="11"/>
  <c r="V71" i="11"/>
  <c r="W51" i="11"/>
  <c r="V67" i="11"/>
  <c r="X62" i="11"/>
  <c r="W82" i="11"/>
  <c r="W58" i="11"/>
  <c r="V78" i="11"/>
  <c r="X64" i="8"/>
  <c r="AA31" i="3"/>
  <c r="Z41" i="3"/>
  <c r="Y74" i="9"/>
  <c r="Z54" i="9"/>
  <c r="AA44" i="2" l="1"/>
  <c r="AB34" i="2"/>
  <c r="W66" i="18"/>
  <c r="V81" i="18"/>
  <c r="R33" i="13"/>
  <c r="Q43" i="13"/>
  <c r="AB61" i="8"/>
  <c r="AA81" i="8"/>
  <c r="Z69" i="8"/>
  <c r="AA49" i="8"/>
  <c r="V76" i="17"/>
  <c r="W56" i="17"/>
  <c r="T73" i="17"/>
  <c r="U53" i="17"/>
  <c r="AA51" i="10"/>
  <c r="Z71" i="10"/>
  <c r="AC42" i="2"/>
  <c r="AD32" i="2"/>
  <c r="AA53" i="10"/>
  <c r="Z73" i="10"/>
  <c r="N75" i="18"/>
  <c r="O60" i="18"/>
  <c r="O75" i="18" s="1"/>
  <c r="V78" i="17"/>
  <c r="W58" i="17"/>
  <c r="Y46" i="4"/>
  <c r="Z36" i="4"/>
  <c r="Y77" i="9"/>
  <c r="Z57" i="9"/>
  <c r="X83" i="11"/>
  <c r="Y63" i="11"/>
  <c r="N41" i="13"/>
  <c r="O31" i="13"/>
  <c r="V72" i="17"/>
  <c r="W52" i="17"/>
  <c r="V77" i="16"/>
  <c r="W57" i="16"/>
  <c r="N42" i="13"/>
  <c r="O32" i="13"/>
  <c r="V83" i="16"/>
  <c r="W63" i="16"/>
  <c r="O40" i="13"/>
  <c r="P30" i="13"/>
  <c r="AA50" i="10"/>
  <c r="Z70" i="10"/>
  <c r="W56" i="16"/>
  <c r="V76" i="16"/>
  <c r="Z37" i="3"/>
  <c r="Z40" i="3"/>
  <c r="Z47" i="3" s="1"/>
  <c r="AA30" i="3"/>
  <c r="Y34" i="5"/>
  <c r="X44" i="5"/>
  <c r="Y64" i="11"/>
  <c r="X84" i="11"/>
  <c r="Z34" i="4"/>
  <c r="Y44" i="4"/>
  <c r="X84" i="10"/>
  <c r="Y69" i="9"/>
  <c r="Z49" i="9"/>
  <c r="Z45" i="5"/>
  <c r="AA35" i="5"/>
  <c r="Y72" i="9"/>
  <c r="Z52" i="9"/>
  <c r="AB43" i="2"/>
  <c r="AC33" i="2"/>
  <c r="AA63" i="8"/>
  <c r="Z83" i="8"/>
  <c r="S85" i="17"/>
  <c r="X40" i="5"/>
  <c r="Y30" i="5"/>
  <c r="X37" i="5"/>
  <c r="Y59" i="11"/>
  <c r="X79" i="11"/>
  <c r="X41" i="5"/>
  <c r="Y31" i="5"/>
  <c r="Y61" i="11"/>
  <c r="X81" i="11"/>
  <c r="L76" i="18"/>
  <c r="M61" i="18"/>
  <c r="Z80" i="8"/>
  <c r="AA60" i="8"/>
  <c r="AA43" i="3"/>
  <c r="AB33" i="3"/>
  <c r="V78" i="16"/>
  <c r="W58" i="16"/>
  <c r="Y75" i="9"/>
  <c r="Z55" i="9"/>
  <c r="AC42" i="1"/>
  <c r="AD32" i="1"/>
  <c r="AB36" i="3"/>
  <c r="AA46" i="3"/>
  <c r="W71" i="11"/>
  <c r="X51" i="11"/>
  <c r="W67" i="11"/>
  <c r="AB45" i="3"/>
  <c r="AC35" i="3"/>
  <c r="V87" i="11"/>
  <c r="Y64" i="10"/>
  <c r="Z48" i="10"/>
  <c r="Y68" i="10"/>
  <c r="V84" i="17"/>
  <c r="W64" i="17"/>
  <c r="V77" i="18"/>
  <c r="W62" i="18"/>
  <c r="Y73" i="9"/>
  <c r="Z53" i="9"/>
  <c r="T70" i="17"/>
  <c r="U50" i="17"/>
  <c r="T65" i="17"/>
  <c r="Y77" i="8"/>
  <c r="Z57" i="8"/>
  <c r="AA58" i="10"/>
  <c r="Z78" i="10"/>
  <c r="M62" i="18"/>
  <c r="L77" i="18"/>
  <c r="AA62" i="9"/>
  <c r="Z82" i="9"/>
  <c r="W76" i="18"/>
  <c r="X61" i="18"/>
  <c r="AD31" i="1"/>
  <c r="AC41" i="1"/>
  <c r="M72" i="18"/>
  <c r="N57" i="18"/>
  <c r="AC41" i="2"/>
  <c r="AD31" i="2"/>
  <c r="Z78" i="9"/>
  <c r="AA58" i="9"/>
  <c r="Y72" i="18"/>
  <c r="Z57" i="18"/>
  <c r="AB43" i="1"/>
  <c r="AC33" i="1"/>
  <c r="X43" i="4"/>
  <c r="Y33" i="4"/>
  <c r="AB46" i="2"/>
  <c r="AC36" i="2"/>
  <c r="T77" i="17"/>
  <c r="U57" i="17"/>
  <c r="AD79" i="8"/>
  <c r="AE59" i="8"/>
  <c r="AA42" i="3"/>
  <c r="AB32" i="3"/>
  <c r="AB68" i="8"/>
  <c r="AC48" i="8"/>
  <c r="Z41" i="4"/>
  <c r="AA31" i="4"/>
  <c r="AA54" i="10"/>
  <c r="Z74" i="10"/>
  <c r="X51" i="16"/>
  <c r="W71" i="16"/>
  <c r="AD36" i="1"/>
  <c r="AC46" i="1"/>
  <c r="AA57" i="10"/>
  <c r="Z77" i="10"/>
  <c r="AC83" i="10"/>
  <c r="AD63" i="10"/>
  <c r="Y68" i="9"/>
  <c r="Y64" i="9"/>
  <c r="Z48" i="9"/>
  <c r="T75" i="17"/>
  <c r="U55" i="17"/>
  <c r="V54" i="17"/>
  <c r="U74" i="17"/>
  <c r="AA50" i="8"/>
  <c r="Z70" i="8"/>
  <c r="K74" i="18"/>
  <c r="K82" i="18" s="1"/>
  <c r="L59" i="18"/>
  <c r="K67" i="18"/>
  <c r="K68" i="18" s="1"/>
  <c r="Y37" i="4"/>
  <c r="Y40" i="4"/>
  <c r="Z30" i="4"/>
  <c r="T85" i="16"/>
  <c r="K78" i="18"/>
  <c r="L63" i="18"/>
  <c r="Y81" i="9"/>
  <c r="Z61" i="9"/>
  <c r="AC56" i="9"/>
  <c r="AB76" i="9"/>
  <c r="Y80" i="9"/>
  <c r="Z60" i="9"/>
  <c r="V80" i="18"/>
  <c r="W65" i="18"/>
  <c r="Y55" i="16"/>
  <c r="X75" i="16"/>
  <c r="Y42" i="4"/>
  <c r="Z32" i="4"/>
  <c r="Z74" i="9"/>
  <c r="AA54" i="9"/>
  <c r="AA45" i="2"/>
  <c r="AB35" i="2"/>
  <c r="AB62" i="8"/>
  <c r="AA82" i="8"/>
  <c r="Z65" i="11"/>
  <c r="Y85" i="11"/>
  <c r="X49" i="16"/>
  <c r="W69" i="16"/>
  <c r="Z47" i="2"/>
  <c r="X37" i="4"/>
  <c r="V53" i="16"/>
  <c r="U73" i="16"/>
  <c r="U85" i="16" s="1"/>
  <c r="AA62" i="10"/>
  <c r="Z82" i="10"/>
  <c r="AB72" i="8"/>
  <c r="AC52" i="8"/>
  <c r="AA59" i="10"/>
  <c r="Z79" i="10"/>
  <c r="V70" i="16"/>
  <c r="W50" i="16"/>
  <c r="AC35" i="1"/>
  <c r="AB45" i="1"/>
  <c r="W72" i="11"/>
  <c r="X52" i="11"/>
  <c r="Y62" i="11"/>
  <c r="X82" i="11"/>
  <c r="Y80" i="10"/>
  <c r="Z60" i="10"/>
  <c r="Y71" i="9"/>
  <c r="Z51" i="9"/>
  <c r="AB31" i="3"/>
  <c r="AA41" i="3"/>
  <c r="Z58" i="8"/>
  <c r="Y78" i="8"/>
  <c r="Y33" i="5"/>
  <c r="X43" i="5"/>
  <c r="W64" i="16"/>
  <c r="V84" i="16"/>
  <c r="AA51" i="8"/>
  <c r="Z71" i="8"/>
  <c r="V60" i="18"/>
  <c r="U75" i="18"/>
  <c r="U82" i="18" s="1"/>
  <c r="V83" i="17"/>
  <c r="W63" i="17"/>
  <c r="V82" i="17"/>
  <c r="W62" i="17"/>
  <c r="W63" i="18"/>
  <c r="V78" i="18"/>
  <c r="P34" i="13"/>
  <c r="O44" i="13"/>
  <c r="AB30" i="1"/>
  <c r="AA40" i="1"/>
  <c r="AA47" i="1" s="1"/>
  <c r="AA37" i="1"/>
  <c r="W75" i="11"/>
  <c r="X55" i="11"/>
  <c r="X47" i="4"/>
  <c r="W62" i="16"/>
  <c r="V82" i="16"/>
  <c r="Y79" i="9"/>
  <c r="Z59" i="9"/>
  <c r="AA81" i="10"/>
  <c r="AB61" i="10"/>
  <c r="W74" i="11"/>
  <c r="X54" i="11"/>
  <c r="W76" i="11"/>
  <c r="X56" i="11"/>
  <c r="W51" i="17"/>
  <c r="V71" i="17"/>
  <c r="X86" i="11"/>
  <c r="Y66" i="11"/>
  <c r="M73" i="18"/>
  <c r="N58" i="18"/>
  <c r="X84" i="9"/>
  <c r="AA49" i="10"/>
  <c r="Z69" i="10"/>
  <c r="T80" i="17"/>
  <c r="U60" i="17"/>
  <c r="Z56" i="8"/>
  <c r="Y76" i="8"/>
  <c r="U79" i="16"/>
  <c r="V59" i="16"/>
  <c r="Z54" i="8"/>
  <c r="Y74" i="8"/>
  <c r="AB30" i="2"/>
  <c r="AA40" i="2"/>
  <c r="AA47" i="2" s="1"/>
  <c r="AA37" i="2"/>
  <c r="AA55" i="10"/>
  <c r="Z75" i="10"/>
  <c r="V64" i="18"/>
  <c r="U79" i="18"/>
  <c r="AA44" i="1"/>
  <c r="AB34" i="1"/>
  <c r="AA32" i="5"/>
  <c r="Z42" i="5"/>
  <c r="X58" i="11"/>
  <c r="W78" i="11"/>
  <c r="N35" i="13"/>
  <c r="O29" i="13"/>
  <c r="N39" i="13"/>
  <c r="N45" i="13" s="1"/>
  <c r="V74" i="18"/>
  <c r="W59" i="18"/>
  <c r="Z55" i="8"/>
  <c r="Y75" i="8"/>
  <c r="Y73" i="8"/>
  <c r="Y84" i="8" s="1"/>
  <c r="Z53" i="8"/>
  <c r="V69" i="17"/>
  <c r="W49" i="17"/>
  <c r="V74" i="16"/>
  <c r="W54" i="16"/>
  <c r="W80" i="11"/>
  <c r="X60" i="11"/>
  <c r="Z76" i="10"/>
  <c r="AA56" i="10"/>
  <c r="W60" i="16"/>
  <c r="V80" i="16"/>
  <c r="X61" i="17"/>
  <c r="W81" i="17"/>
  <c r="M45" i="13"/>
  <c r="Y70" i="9"/>
  <c r="Z50" i="9"/>
  <c r="Y57" i="11"/>
  <c r="X77" i="11"/>
  <c r="W73" i="11"/>
  <c r="X53" i="11"/>
  <c r="Y61" i="16"/>
  <c r="X81" i="16"/>
  <c r="Y58" i="18"/>
  <c r="X73" i="18"/>
  <c r="Z63" i="9"/>
  <c r="Y83" i="9"/>
  <c r="U59" i="17"/>
  <c r="T79" i="17"/>
  <c r="AB44" i="3"/>
  <c r="AC34" i="3"/>
  <c r="AA52" i="16"/>
  <c r="Z72" i="16"/>
  <c r="Y45" i="4"/>
  <c r="Z35" i="4"/>
  <c r="Z72" i="10"/>
  <c r="AA52" i="10"/>
  <c r="W64" i="18" l="1"/>
  <c r="V79" i="18"/>
  <c r="Z40" i="4"/>
  <c r="AA30" i="4"/>
  <c r="Z57" i="11"/>
  <c r="Y77" i="11"/>
  <c r="W74" i="16"/>
  <c r="X54" i="16"/>
  <c r="AB55" i="10"/>
  <c r="AA75" i="10"/>
  <c r="Z80" i="10"/>
  <c r="AA60" i="10"/>
  <c r="AC72" i="8"/>
  <c r="AD52" i="8"/>
  <c r="AA65" i="11"/>
  <c r="Z85" i="11"/>
  <c r="Z68" i="9"/>
  <c r="Z64" i="9"/>
  <c r="AA48" i="9"/>
  <c r="AB54" i="10"/>
  <c r="AA74" i="10"/>
  <c r="AD36" i="2"/>
  <c r="AC46" i="2"/>
  <c r="AC36" i="3"/>
  <c r="AB46" i="3"/>
  <c r="O41" i="13"/>
  <c r="P31" i="13"/>
  <c r="Y49" i="16"/>
  <c r="X69" i="16"/>
  <c r="AC44" i="3"/>
  <c r="AD34" i="3"/>
  <c r="X65" i="18"/>
  <c r="W80" i="18"/>
  <c r="AD41" i="2"/>
  <c r="AE31" i="2"/>
  <c r="M77" i="18"/>
  <c r="N62" i="18"/>
  <c r="Z70" i="9"/>
  <c r="AA50" i="9"/>
  <c r="P29" i="13"/>
  <c r="O39" i="13"/>
  <c r="O35" i="13"/>
  <c r="AB49" i="10"/>
  <c r="AA69" i="10"/>
  <c r="AB81" i="10"/>
  <c r="AC61" i="10"/>
  <c r="AB37" i="1"/>
  <c r="AB40" i="1"/>
  <c r="AC30" i="1"/>
  <c r="AA71" i="8"/>
  <c r="AB51" i="8"/>
  <c r="Z80" i="9"/>
  <c r="AA60" i="9"/>
  <c r="AB31" i="4"/>
  <c r="AA41" i="4"/>
  <c r="AB58" i="10"/>
  <c r="AA78" i="10"/>
  <c r="Y84" i="10"/>
  <c r="AE32" i="1"/>
  <c r="AD42" i="1"/>
  <c r="AB63" i="8"/>
  <c r="AA83" i="8"/>
  <c r="AA34" i="4"/>
  <c r="Z44" i="4"/>
  <c r="AB50" i="10"/>
  <c r="AA70" i="10"/>
  <c r="AB53" i="10"/>
  <c r="AA73" i="10"/>
  <c r="V67" i="18"/>
  <c r="V68" i="18" s="1"/>
  <c r="AB59" i="10"/>
  <c r="AA79" i="10"/>
  <c r="AC62" i="8"/>
  <c r="AB82" i="8"/>
  <c r="Y84" i="9"/>
  <c r="Y43" i="4"/>
  <c r="Y47" i="4" s="1"/>
  <c r="Z33" i="4"/>
  <c r="O57" i="18"/>
  <c r="N72" i="18"/>
  <c r="Z77" i="8"/>
  <c r="AA57" i="8"/>
  <c r="Z68" i="10"/>
  <c r="Z84" i="10" s="1"/>
  <c r="AA48" i="10"/>
  <c r="Z64" i="10"/>
  <c r="AC43" i="2"/>
  <c r="AD33" i="2"/>
  <c r="P40" i="13"/>
  <c r="Q30" i="13"/>
  <c r="Y83" i="11"/>
  <c r="Z63" i="11"/>
  <c r="AE32" i="2"/>
  <c r="AD42" i="2"/>
  <c r="AC61" i="8"/>
  <c r="AB81" i="8"/>
  <c r="V60" i="17"/>
  <c r="U80" i="17"/>
  <c r="X56" i="16"/>
  <c r="W76" i="16"/>
  <c r="AB40" i="2"/>
  <c r="AB37" i="2"/>
  <c r="AC30" i="2"/>
  <c r="N73" i="18"/>
  <c r="O58" i="18"/>
  <c r="O73" i="18" s="1"/>
  <c r="Q34" i="13"/>
  <c r="P44" i="13"/>
  <c r="X64" i="16"/>
  <c r="W84" i="16"/>
  <c r="Z62" i="11"/>
  <c r="Y82" i="11"/>
  <c r="AB62" i="10"/>
  <c r="AA82" i="10"/>
  <c r="AB45" i="2"/>
  <c r="AC35" i="2"/>
  <c r="L74" i="18"/>
  <c r="M59" i="18"/>
  <c r="L67" i="18"/>
  <c r="L68" i="18" s="1"/>
  <c r="AE63" i="10"/>
  <c r="AD83" i="10"/>
  <c r="AC68" i="8"/>
  <c r="AD48" i="8"/>
  <c r="Z75" i="9"/>
  <c r="AA55" i="9"/>
  <c r="Z61" i="11"/>
  <c r="Y81" i="11"/>
  <c r="Z64" i="11"/>
  <c r="Y84" i="11"/>
  <c r="AA63" i="9"/>
  <c r="Z83" i="9"/>
  <c r="X72" i="11"/>
  <c r="Y52" i="11"/>
  <c r="AD56" i="9"/>
  <c r="AC76" i="9"/>
  <c r="AC43" i="1"/>
  <c r="AD33" i="1"/>
  <c r="Y41" i="5"/>
  <c r="Z31" i="5"/>
  <c r="Z72" i="9"/>
  <c r="AA52" i="9"/>
  <c r="X63" i="16"/>
  <c r="W83" i="16"/>
  <c r="Z77" i="9"/>
  <c r="AA57" i="9"/>
  <c r="S33" i="13"/>
  <c r="R43" i="13"/>
  <c r="Z71" i="9"/>
  <c r="AA51" i="9"/>
  <c r="V55" i="17"/>
  <c r="U75" i="17"/>
  <c r="X74" i="11"/>
  <c r="Y54" i="11"/>
  <c r="Y58" i="11"/>
  <c r="X78" i="11"/>
  <c r="Z79" i="9"/>
  <c r="AA59" i="9"/>
  <c r="AA72" i="10"/>
  <c r="AB52" i="10"/>
  <c r="Y61" i="17"/>
  <c r="Y81" i="17" s="1"/>
  <c r="X81" i="17"/>
  <c r="Z73" i="8"/>
  <c r="Z84" i="8" s="1"/>
  <c r="AA53" i="8"/>
  <c r="Z74" i="8"/>
  <c r="AA54" i="8"/>
  <c r="Z66" i="11"/>
  <c r="Y86" i="11"/>
  <c r="X63" i="18"/>
  <c r="W78" i="18"/>
  <c r="Z33" i="5"/>
  <c r="Y43" i="5"/>
  <c r="W53" i="16"/>
  <c r="V73" i="16"/>
  <c r="V65" i="16"/>
  <c r="AA74" i="9"/>
  <c r="AB54" i="9"/>
  <c r="AA61" i="9"/>
  <c r="Z81" i="9"/>
  <c r="AD41" i="1"/>
  <c r="AE31" i="1"/>
  <c r="U70" i="17"/>
  <c r="V50" i="17"/>
  <c r="U65" i="17"/>
  <c r="AC45" i="3"/>
  <c r="AD35" i="3"/>
  <c r="W78" i="16"/>
  <c r="X58" i="16"/>
  <c r="Y44" i="5"/>
  <c r="Z34" i="5"/>
  <c r="AB51" i="10"/>
  <c r="AA71" i="10"/>
  <c r="AA72" i="16"/>
  <c r="AB52" i="16"/>
  <c r="AB72" i="16" s="1"/>
  <c r="Z55" i="16"/>
  <c r="Y75" i="16"/>
  <c r="N61" i="18"/>
  <c r="M76" i="18"/>
  <c r="V59" i="17"/>
  <c r="U79" i="17"/>
  <c r="W82" i="17"/>
  <c r="X62" i="17"/>
  <c r="AB57" i="10"/>
  <c r="AA77" i="10"/>
  <c r="AB42" i="3"/>
  <c r="AC32" i="3"/>
  <c r="Z72" i="18"/>
  <c r="AA57" i="18"/>
  <c r="X76" i="18"/>
  <c r="Y61" i="18"/>
  <c r="T85" i="17"/>
  <c r="AA45" i="5"/>
  <c r="AB35" i="5"/>
  <c r="P32" i="13"/>
  <c r="O42" i="13"/>
  <c r="Z46" i="4"/>
  <c r="AA36" i="4"/>
  <c r="U73" i="17"/>
  <c r="V53" i="17"/>
  <c r="X66" i="18"/>
  <c r="W81" i="18"/>
  <c r="X80" i="11"/>
  <c r="Y60" i="11"/>
  <c r="V75" i="18"/>
  <c r="V82" i="18" s="1"/>
  <c r="W60" i="18"/>
  <c r="W69" i="17"/>
  <c r="X49" i="17"/>
  <c r="X60" i="16"/>
  <c r="W80" i="16"/>
  <c r="Z42" i="4"/>
  <c r="AA32" i="4"/>
  <c r="L78" i="18"/>
  <c r="M63" i="18"/>
  <c r="AA70" i="8"/>
  <c r="AB50" i="8"/>
  <c r="Z73" i="9"/>
  <c r="AA53" i="9"/>
  <c r="AB43" i="3"/>
  <c r="AC33" i="3"/>
  <c r="Z59" i="11"/>
  <c r="Y79" i="11"/>
  <c r="AB30" i="3"/>
  <c r="AA37" i="3"/>
  <c r="AA40" i="3"/>
  <c r="AA47" i="3" s="1"/>
  <c r="AB44" i="2"/>
  <c r="AC34" i="2"/>
  <c r="AA69" i="8"/>
  <c r="AB49" i="8"/>
  <c r="AB32" i="5"/>
  <c r="AA42" i="5"/>
  <c r="Z45" i="4"/>
  <c r="AA35" i="4"/>
  <c r="AA58" i="8"/>
  <c r="Z78" i="8"/>
  <c r="Z61" i="16"/>
  <c r="Y81" i="16"/>
  <c r="AA76" i="10"/>
  <c r="AB56" i="10"/>
  <c r="Z75" i="8"/>
  <c r="AA55" i="8"/>
  <c r="X51" i="17"/>
  <c r="W71" i="17"/>
  <c r="X63" i="17"/>
  <c r="W83" i="17"/>
  <c r="W70" i="16"/>
  <c r="X50" i="16"/>
  <c r="AE36" i="1"/>
  <c r="AD46" i="1"/>
  <c r="AE79" i="8"/>
  <c r="AF59" i="8"/>
  <c r="AF79" i="8" s="1"/>
  <c r="X67" i="11"/>
  <c r="X71" i="11"/>
  <c r="Y51" i="11"/>
  <c r="AA49" i="9"/>
  <c r="Z69" i="9"/>
  <c r="W77" i="16"/>
  <c r="X57" i="16"/>
  <c r="X58" i="17"/>
  <c r="W78" i="17"/>
  <c r="X56" i="17"/>
  <c r="W76" i="17"/>
  <c r="Y51" i="16"/>
  <c r="X71" i="16"/>
  <c r="W84" i="17"/>
  <c r="X64" i="17"/>
  <c r="Z58" i="18"/>
  <c r="Y73" i="18"/>
  <c r="V79" i="16"/>
  <c r="W59" i="16"/>
  <c r="AB44" i="1"/>
  <c r="AC34" i="1"/>
  <c r="X62" i="16"/>
  <c r="W82" i="16"/>
  <c r="AD35" i="1"/>
  <c r="AC45" i="1"/>
  <c r="X73" i="11"/>
  <c r="Y53" i="11"/>
  <c r="W74" i="18"/>
  <c r="X59" i="18"/>
  <c r="W67" i="18"/>
  <c r="W68" i="18" s="1"/>
  <c r="Z76" i="8"/>
  <c r="AA56" i="8"/>
  <c r="AA64" i="8" s="1"/>
  <c r="X76" i="11"/>
  <c r="Y56" i="11"/>
  <c r="Y55" i="11"/>
  <c r="X75" i="11"/>
  <c r="AC31" i="3"/>
  <c r="AB41" i="3"/>
  <c r="W54" i="17"/>
  <c r="V74" i="17"/>
  <c r="AA78" i="9"/>
  <c r="AB58" i="9"/>
  <c r="AA82" i="9"/>
  <c r="AB62" i="9"/>
  <c r="W77" i="18"/>
  <c r="X62" i="18"/>
  <c r="W87" i="11"/>
  <c r="AA80" i="8"/>
  <c r="AB60" i="8"/>
  <c r="Y40" i="5"/>
  <c r="Z30" i="5"/>
  <c r="Y37" i="5"/>
  <c r="U77" i="17"/>
  <c r="V57" i="17"/>
  <c r="X47" i="5"/>
  <c r="W72" i="17"/>
  <c r="X52" i="17"/>
  <c r="Z64" i="8"/>
  <c r="AB74" i="10" l="1"/>
  <c r="AC54" i="10"/>
  <c r="Y59" i="18"/>
  <c r="X74" i="18"/>
  <c r="AB58" i="8"/>
  <c r="AA78" i="8"/>
  <c r="AA42" i="4"/>
  <c r="AB32" i="4"/>
  <c r="X81" i="18"/>
  <c r="Y66" i="18"/>
  <c r="N76" i="18"/>
  <c r="O61" i="18"/>
  <c r="O76" i="18" s="1"/>
  <c r="X53" i="16"/>
  <c r="W73" i="16"/>
  <c r="W85" i="16" s="1"/>
  <c r="AA61" i="11"/>
  <c r="Z81" i="11"/>
  <c r="AC45" i="2"/>
  <c r="AD35" i="2"/>
  <c r="AC37" i="2"/>
  <c r="AD30" i="2"/>
  <c r="AC40" i="2"/>
  <c r="O72" i="18"/>
  <c r="AB70" i="10"/>
  <c r="AC50" i="10"/>
  <c r="AA80" i="9"/>
  <c r="AB60" i="9"/>
  <c r="O45" i="13"/>
  <c r="AA68" i="9"/>
  <c r="AA64" i="9"/>
  <c r="AB48" i="9"/>
  <c r="X70" i="16"/>
  <c r="Y50" i="16"/>
  <c r="AA72" i="18"/>
  <c r="AB57" i="18"/>
  <c r="AA75" i="9"/>
  <c r="AB55" i="9"/>
  <c r="Z43" i="4"/>
  <c r="AA33" i="4"/>
  <c r="Z49" i="16"/>
  <c r="Y69" i="16"/>
  <c r="AA69" i="9"/>
  <c r="AB49" i="9"/>
  <c r="W53" i="17"/>
  <c r="V73" i="17"/>
  <c r="Q40" i="13"/>
  <c r="R30" i="13"/>
  <c r="Y47" i="5"/>
  <c r="Y64" i="17"/>
  <c r="Y84" i="17" s="1"/>
  <c r="X84" i="17"/>
  <c r="Y67" i="11"/>
  <c r="Z51" i="11"/>
  <c r="Y71" i="11"/>
  <c r="X83" i="17"/>
  <c r="Y63" i="17"/>
  <c r="Y83" i="17" s="1"/>
  <c r="AA55" i="16"/>
  <c r="Z75" i="16"/>
  <c r="W50" i="17"/>
  <c r="V70" i="17"/>
  <c r="V65" i="17"/>
  <c r="AA33" i="5"/>
  <c r="Z43" i="5"/>
  <c r="S43" i="13"/>
  <c r="T33" i="13"/>
  <c r="AB47" i="2"/>
  <c r="AB34" i="4"/>
  <c r="AA44" i="4"/>
  <c r="AB71" i="8"/>
  <c r="AC51" i="8"/>
  <c r="AA70" i="9"/>
  <c r="AB50" i="9"/>
  <c r="Z84" i="9"/>
  <c r="AA57" i="11"/>
  <c r="Z77" i="11"/>
  <c r="AC31" i="4"/>
  <c r="AB41" i="4"/>
  <c r="AC30" i="3"/>
  <c r="AB37" i="3"/>
  <c r="AB40" i="3"/>
  <c r="AB47" i="3" s="1"/>
  <c r="AB72" i="10"/>
  <c r="AC52" i="10"/>
  <c r="AC60" i="8"/>
  <c r="AB80" i="8"/>
  <c r="X87" i="11"/>
  <c r="AA59" i="11"/>
  <c r="Z79" i="11"/>
  <c r="X80" i="16"/>
  <c r="Y60" i="16"/>
  <c r="AB36" i="4"/>
  <c r="AA46" i="4"/>
  <c r="AC42" i="3"/>
  <c r="AD32" i="3"/>
  <c r="U85" i="17"/>
  <c r="AA79" i="9"/>
  <c r="AB59" i="9"/>
  <c r="AA77" i="9"/>
  <c r="AB57" i="9"/>
  <c r="AE56" i="9"/>
  <c r="AD76" i="9"/>
  <c r="AB82" i="10"/>
  <c r="AC62" i="10"/>
  <c r="AD43" i="2"/>
  <c r="AE33" i="2"/>
  <c r="L82" i="18"/>
  <c r="Z40" i="5"/>
  <c r="AA30" i="5"/>
  <c r="Z37" i="5"/>
  <c r="Q29" i="13"/>
  <c r="P39" i="13"/>
  <c r="P35" i="13"/>
  <c r="Y73" i="11"/>
  <c r="Z53" i="11"/>
  <c r="AD31" i="3"/>
  <c r="AC41" i="3"/>
  <c r="X71" i="17"/>
  <c r="Y51" i="17"/>
  <c r="Y71" i="17" s="1"/>
  <c r="AC32" i="5"/>
  <c r="AB42" i="5"/>
  <c r="AC43" i="3"/>
  <c r="AD33" i="3"/>
  <c r="X69" i="17"/>
  <c r="Y49" i="17"/>
  <c r="AF31" i="1"/>
  <c r="AE41" i="1"/>
  <c r="X78" i="18"/>
  <c r="Y63" i="18"/>
  <c r="Y72" i="11"/>
  <c r="Z52" i="11"/>
  <c r="AD68" i="8"/>
  <c r="AE48" i="8"/>
  <c r="X76" i="16"/>
  <c r="Y56" i="16"/>
  <c r="AC63" i="8"/>
  <c r="AB83" i="8"/>
  <c r="AC37" i="1"/>
  <c r="AD30" i="1"/>
  <c r="AC40" i="1"/>
  <c r="N77" i="18"/>
  <c r="O62" i="18"/>
  <c r="O77" i="18" s="1"/>
  <c r="P41" i="13"/>
  <c r="Q31" i="13"/>
  <c r="AB65" i="11"/>
  <c r="AA85" i="11"/>
  <c r="AA37" i="4"/>
  <c r="AA40" i="4"/>
  <c r="AB30" i="4"/>
  <c r="AA71" i="9"/>
  <c r="AB51" i="9"/>
  <c r="AE35" i="1"/>
  <c r="AD45" i="1"/>
  <c r="Z51" i="16"/>
  <c r="Y71" i="16"/>
  <c r="AB55" i="8"/>
  <c r="AA75" i="8"/>
  <c r="AA84" i="8" s="1"/>
  <c r="AA62" i="11"/>
  <c r="Z82" i="11"/>
  <c r="AC82" i="8"/>
  <c r="AD62" i="8"/>
  <c r="AB47" i="1"/>
  <c r="AD72" i="8"/>
  <c r="AE52" i="8"/>
  <c r="AE72" i="8" s="1"/>
  <c r="Z47" i="4"/>
  <c r="AD43" i="1"/>
  <c r="AE33" i="1"/>
  <c r="Y62" i="18"/>
  <c r="X77" i="18"/>
  <c r="AA73" i="9"/>
  <c r="AB53" i="9"/>
  <c r="Q32" i="13"/>
  <c r="P42" i="13"/>
  <c r="AC57" i="10"/>
  <c r="AB77" i="10"/>
  <c r="AB71" i="10"/>
  <c r="AC51" i="10"/>
  <c r="AA66" i="11"/>
  <c r="Z86" i="11"/>
  <c r="Z58" i="11"/>
  <c r="Y78" i="11"/>
  <c r="Y63" i="16"/>
  <c r="X83" i="16"/>
  <c r="W60" i="17"/>
  <c r="V80" i="17"/>
  <c r="AA68" i="10"/>
  <c r="AB48" i="10"/>
  <c r="AA64" i="10"/>
  <c r="AE42" i="1"/>
  <c r="AF32" i="1"/>
  <c r="AF31" i="2"/>
  <c r="AE41" i="2"/>
  <c r="Z37" i="4"/>
  <c r="AB76" i="10"/>
  <c r="AC56" i="10"/>
  <c r="AB45" i="5"/>
  <c r="AC35" i="5"/>
  <c r="AA81" i="9"/>
  <c r="AB61" i="9"/>
  <c r="Y74" i="11"/>
  <c r="Z54" i="11"/>
  <c r="AA72" i="9"/>
  <c r="AB52" i="9"/>
  <c r="AA83" i="9"/>
  <c r="AB63" i="9"/>
  <c r="X84" i="16"/>
  <c r="Y64" i="16"/>
  <c r="AB79" i="10"/>
  <c r="AC59" i="10"/>
  <c r="AC81" i="10"/>
  <c r="AD61" i="10"/>
  <c r="AC46" i="3"/>
  <c r="AD36" i="3"/>
  <c r="AB60" i="10"/>
  <c r="AA80" i="10"/>
  <c r="V85" i="16"/>
  <c r="AA58" i="18"/>
  <c r="Z73" i="18"/>
  <c r="Z55" i="11"/>
  <c r="Y75" i="11"/>
  <c r="X72" i="17"/>
  <c r="Y52" i="17"/>
  <c r="Y72" i="17" s="1"/>
  <c r="Y76" i="11"/>
  <c r="Z56" i="11"/>
  <c r="X82" i="16"/>
  <c r="Y62" i="16"/>
  <c r="X76" i="17"/>
  <c r="Y56" i="17"/>
  <c r="Y76" i="17" s="1"/>
  <c r="AB69" i="8"/>
  <c r="AC49" i="8"/>
  <c r="X60" i="18"/>
  <c r="X67" i="18" s="1"/>
  <c r="X68" i="18" s="1"/>
  <c r="W75" i="18"/>
  <c r="X82" i="17"/>
  <c r="Y62" i="17"/>
  <c r="Y82" i="17" s="1"/>
  <c r="Z44" i="5"/>
  <c r="AA34" i="5"/>
  <c r="AB54" i="8"/>
  <c r="AA74" i="8"/>
  <c r="AC62" i="9"/>
  <c r="AB82" i="9"/>
  <c r="AC44" i="1"/>
  <c r="AD34" i="1"/>
  <c r="AB70" i="8"/>
  <c r="AC50" i="8"/>
  <c r="AB74" i="9"/>
  <c r="AC54" i="9"/>
  <c r="AF63" i="10"/>
  <c r="AF83" i="10" s="1"/>
  <c r="AE83" i="10"/>
  <c r="AC81" i="8"/>
  <c r="AD61" i="8"/>
  <c r="AB57" i="8"/>
  <c r="AA77" i="8"/>
  <c r="W79" i="18"/>
  <c r="W82" i="18" s="1"/>
  <c r="X64" i="18"/>
  <c r="X74" i="16"/>
  <c r="Y54" i="16"/>
  <c r="AB56" i="8"/>
  <c r="AA76" i="8"/>
  <c r="Y58" i="17"/>
  <c r="Y78" i="17" s="1"/>
  <c r="X78" i="17"/>
  <c r="AF36" i="1"/>
  <c r="AE46" i="1"/>
  <c r="AD34" i="2"/>
  <c r="AC44" i="2"/>
  <c r="Y80" i="11"/>
  <c r="Z60" i="11"/>
  <c r="X78" i="16"/>
  <c r="Y58" i="16"/>
  <c r="AB53" i="8"/>
  <c r="AA73" i="8"/>
  <c r="Z41" i="5"/>
  <c r="AA31" i="5"/>
  <c r="R34" i="13"/>
  <c r="Q44" i="13"/>
  <c r="AB78" i="10"/>
  <c r="AC58" i="10"/>
  <c r="X80" i="18"/>
  <c r="Y65" i="18"/>
  <c r="AE36" i="2"/>
  <c r="AD46" i="2"/>
  <c r="AD45" i="3"/>
  <c r="AE35" i="3"/>
  <c r="Z83" i="11"/>
  <c r="AA63" i="11"/>
  <c r="X54" i="17"/>
  <c r="W74" i="17"/>
  <c r="AB35" i="4"/>
  <c r="AA45" i="4"/>
  <c r="W57" i="17"/>
  <c r="V77" i="17"/>
  <c r="AB78" i="9"/>
  <c r="AC58" i="9"/>
  <c r="X59" i="16"/>
  <c r="X65" i="16" s="1"/>
  <c r="W79" i="16"/>
  <c r="Y57" i="16"/>
  <c r="X77" i="16"/>
  <c r="W65" i="16"/>
  <c r="AA61" i="16"/>
  <c r="Z81" i="16"/>
  <c r="M78" i="18"/>
  <c r="N63" i="18"/>
  <c r="Y76" i="18"/>
  <c r="Z61" i="18"/>
  <c r="V79" i="17"/>
  <c r="W59" i="17"/>
  <c r="W55" i="17"/>
  <c r="V75" i="17"/>
  <c r="AA64" i="11"/>
  <c r="Z84" i="11"/>
  <c r="N59" i="18"/>
  <c r="M74" i="18"/>
  <c r="M82" i="18" s="1"/>
  <c r="M67" i="18"/>
  <c r="M68" i="18" s="1"/>
  <c r="AE42" i="2"/>
  <c r="AF32" i="2"/>
  <c r="AC53" i="10"/>
  <c r="AB73" i="10"/>
  <c r="AC49" i="10"/>
  <c r="AB69" i="10"/>
  <c r="AD44" i="3"/>
  <c r="AE34" i="3"/>
  <c r="AB75" i="10"/>
  <c r="AC55" i="10"/>
  <c r="AB42" i="4" l="1"/>
  <c r="AC32" i="4"/>
  <c r="X74" i="17"/>
  <c r="Y54" i="17"/>
  <c r="Y74" i="17" s="1"/>
  <c r="R44" i="13"/>
  <c r="S34" i="13"/>
  <c r="AG36" i="1"/>
  <c r="AF46" i="1"/>
  <c r="AC52" i="9"/>
  <c r="AB72" i="9"/>
  <c r="AA58" i="11"/>
  <c r="Z78" i="11"/>
  <c r="P45" i="13"/>
  <c r="AB77" i="9"/>
  <c r="AC57" i="9"/>
  <c r="AB59" i="11"/>
  <c r="AA79" i="11"/>
  <c r="AB57" i="11"/>
  <c r="AA77" i="11"/>
  <c r="AA49" i="16"/>
  <c r="Z69" i="16"/>
  <c r="N74" i="18"/>
  <c r="O59" i="18"/>
  <c r="N67" i="18"/>
  <c r="N68" i="18" s="1"/>
  <c r="AB74" i="8"/>
  <c r="AC54" i="8"/>
  <c r="AA84" i="9"/>
  <c r="AE35" i="2"/>
  <c r="AD45" i="2"/>
  <c r="Z56" i="16"/>
  <c r="Y76" i="16"/>
  <c r="AB64" i="11"/>
  <c r="AA84" i="11"/>
  <c r="Z57" i="16"/>
  <c r="Y77" i="16"/>
  <c r="AB34" i="5"/>
  <c r="AA44" i="5"/>
  <c r="AE36" i="3"/>
  <c r="AD46" i="3"/>
  <c r="Z74" i="11"/>
  <c r="AA54" i="11"/>
  <c r="AG32" i="1"/>
  <c r="AF42" i="1"/>
  <c r="AB66" i="11"/>
  <c r="AA86" i="11"/>
  <c r="AE43" i="1"/>
  <c r="AF33" i="1"/>
  <c r="AB75" i="8"/>
  <c r="AC55" i="8"/>
  <c r="Q41" i="13"/>
  <c r="R31" i="13"/>
  <c r="AB79" i="9"/>
  <c r="AC59" i="9"/>
  <c r="AB78" i="8"/>
  <c r="AC58" i="8"/>
  <c r="AB62" i="11"/>
  <c r="AA82" i="11"/>
  <c r="AG31" i="2"/>
  <c r="AF41" i="2"/>
  <c r="AA43" i="5"/>
  <c r="AB33" i="5"/>
  <c r="X55" i="17"/>
  <c r="W75" i="17"/>
  <c r="AE45" i="3"/>
  <c r="AF35" i="3"/>
  <c r="AC74" i="9"/>
  <c r="AD54" i="9"/>
  <c r="Z76" i="11"/>
  <c r="AA56" i="11"/>
  <c r="AC71" i="10"/>
  <c r="AD51" i="10"/>
  <c r="AB30" i="5"/>
  <c r="AA37" i="5"/>
  <c r="AA40" i="5"/>
  <c r="AC80" i="8"/>
  <c r="AD60" i="8"/>
  <c r="AB70" i="9"/>
  <c r="AC50" i="9"/>
  <c r="V85" i="17"/>
  <c r="AB75" i="9"/>
  <c r="AC55" i="9"/>
  <c r="AD37" i="2"/>
  <c r="AD40" i="2"/>
  <c r="AE30" i="2"/>
  <c r="AA43" i="4"/>
  <c r="AB33" i="4"/>
  <c r="AB73" i="8"/>
  <c r="AC53" i="8"/>
  <c r="AD81" i="10"/>
  <c r="AE61" i="10"/>
  <c r="AB81" i="9"/>
  <c r="AC61" i="9"/>
  <c r="AA51" i="16"/>
  <c r="Z71" i="16"/>
  <c r="Z72" i="11"/>
  <c r="AA52" i="11"/>
  <c r="AC42" i="5"/>
  <c r="AD32" i="5"/>
  <c r="Z47" i="5"/>
  <c r="AD52" i="10"/>
  <c r="AC72" i="10"/>
  <c r="X50" i="17"/>
  <c r="W70" i="17"/>
  <c r="W65" i="17"/>
  <c r="R40" i="13"/>
  <c r="S30" i="13"/>
  <c r="AB80" i="9"/>
  <c r="AC60" i="9"/>
  <c r="AB61" i="11"/>
  <c r="AA81" i="11"/>
  <c r="AC69" i="10"/>
  <c r="AD49" i="10"/>
  <c r="Y59" i="16"/>
  <c r="X79" i="16"/>
  <c r="AC78" i="9"/>
  <c r="AD58" i="9"/>
  <c r="Z58" i="16"/>
  <c r="Y78" i="16"/>
  <c r="Z54" i="16"/>
  <c r="Y74" i="16"/>
  <c r="AC70" i="8"/>
  <c r="AD50" i="8"/>
  <c r="AB68" i="10"/>
  <c r="AB64" i="10"/>
  <c r="AC48" i="10"/>
  <c r="AE32" i="3"/>
  <c r="AD42" i="3"/>
  <c r="AC71" i="8"/>
  <c r="AD51" i="8"/>
  <c r="Y74" i="18"/>
  <c r="Z59" i="18"/>
  <c r="AD62" i="9"/>
  <c r="AC82" i="9"/>
  <c r="AA83" i="11"/>
  <c r="AB63" i="11"/>
  <c r="W79" i="17"/>
  <c r="X59" i="17"/>
  <c r="AB76" i="8"/>
  <c r="AB84" i="8" s="1"/>
  <c r="AC56" i="8"/>
  <c r="AC73" i="10"/>
  <c r="AD53" i="10"/>
  <c r="Z76" i="18"/>
  <c r="AA61" i="18"/>
  <c r="AF36" i="2"/>
  <c r="AE46" i="2"/>
  <c r="AC79" i="10"/>
  <c r="AD59" i="10"/>
  <c r="AC45" i="5"/>
  <c r="AD35" i="5"/>
  <c r="AA84" i="10"/>
  <c r="AC77" i="10"/>
  <c r="AD57" i="10"/>
  <c r="AF35" i="1"/>
  <c r="AE45" i="1"/>
  <c r="AC47" i="1"/>
  <c r="Y78" i="18"/>
  <c r="Z63" i="18"/>
  <c r="AE43" i="2"/>
  <c r="AF33" i="2"/>
  <c r="AA75" i="16"/>
  <c r="AB55" i="16"/>
  <c r="AB75" i="16" s="1"/>
  <c r="AB72" i="18"/>
  <c r="AC57" i="18"/>
  <c r="AD50" i="10"/>
  <c r="AC70" i="10"/>
  <c r="Y53" i="16"/>
  <c r="X73" i="16"/>
  <c r="X85" i="16" s="1"/>
  <c r="AD54" i="10"/>
  <c r="AC74" i="10"/>
  <c r="AA81" i="16"/>
  <c r="AB61" i="16"/>
  <c r="AB81" i="16" s="1"/>
  <c r="AB64" i="9"/>
  <c r="AB68" i="9"/>
  <c r="AB84" i="9" s="1"/>
  <c r="AC48" i="9"/>
  <c r="AC65" i="11"/>
  <c r="AB85" i="11"/>
  <c r="AG32" i="2"/>
  <c r="AF42" i="2"/>
  <c r="AB71" i="9"/>
  <c r="AC51" i="9"/>
  <c r="AD37" i="1"/>
  <c r="AE30" i="1"/>
  <c r="AD40" i="1"/>
  <c r="AD47" i="1" s="1"/>
  <c r="W73" i="17"/>
  <c r="X53" i="17"/>
  <c r="AD81" i="8"/>
  <c r="AE61" i="8"/>
  <c r="AA41" i="5"/>
  <c r="AB31" i="5"/>
  <c r="AC60" i="10"/>
  <c r="AB80" i="10"/>
  <c r="Z62" i="18"/>
  <c r="Y77" i="18"/>
  <c r="AE33" i="3"/>
  <c r="AD43" i="3"/>
  <c r="X79" i="18"/>
  <c r="X82" i="18" s="1"/>
  <c r="Y64" i="18"/>
  <c r="AD44" i="1"/>
  <c r="AE34" i="1"/>
  <c r="AB64" i="8"/>
  <c r="AA55" i="11"/>
  <c r="Z75" i="11"/>
  <c r="Z64" i="16"/>
  <c r="Y84" i="16"/>
  <c r="AC76" i="10"/>
  <c r="AD56" i="10"/>
  <c r="W80" i="17"/>
  <c r="X60" i="17"/>
  <c r="R32" i="13"/>
  <c r="Q42" i="13"/>
  <c r="AD82" i="8"/>
  <c r="AE62" i="8"/>
  <c r="AD41" i="3"/>
  <c r="AE31" i="3"/>
  <c r="AD62" i="10"/>
  <c r="AC82" i="10"/>
  <c r="AC36" i="4"/>
  <c r="AB46" i="4"/>
  <c r="AD30" i="3"/>
  <c r="AC37" i="3"/>
  <c r="AC40" i="3"/>
  <c r="AC47" i="3" s="1"/>
  <c r="AC34" i="4"/>
  <c r="AB44" i="4"/>
  <c r="AB69" i="9"/>
  <c r="AC49" i="9"/>
  <c r="AC75" i="10"/>
  <c r="AD55" i="10"/>
  <c r="Z67" i="11"/>
  <c r="Z71" i="11"/>
  <c r="AA51" i="11"/>
  <c r="R29" i="13"/>
  <c r="Q39" i="13"/>
  <c r="Q45" i="13" s="1"/>
  <c r="Q35" i="13"/>
  <c r="Z80" i="11"/>
  <c r="AA60" i="11"/>
  <c r="X75" i="18"/>
  <c r="Y60" i="18"/>
  <c r="Y67" i="18" s="1"/>
  <c r="Y68" i="18" s="1"/>
  <c r="X57" i="17"/>
  <c r="W77" i="17"/>
  <c r="AD58" i="10"/>
  <c r="AC78" i="10"/>
  <c r="AC69" i="8"/>
  <c r="AD49" i="8"/>
  <c r="AB37" i="4"/>
  <c r="AB40" i="4"/>
  <c r="AC30" i="4"/>
  <c r="AG31" i="1"/>
  <c r="AF41" i="1"/>
  <c r="Z73" i="11"/>
  <c r="AA53" i="11"/>
  <c r="Z60" i="16"/>
  <c r="Y80" i="16"/>
  <c r="Z50" i="16"/>
  <c r="Y70" i="16"/>
  <c r="Z66" i="18"/>
  <c r="Y81" i="18"/>
  <c r="AE76" i="9"/>
  <c r="AF56" i="9"/>
  <c r="AF76" i="9" s="1"/>
  <c r="AE44" i="3"/>
  <c r="AF34" i="3"/>
  <c r="Z62" i="16"/>
  <c r="Y82" i="16"/>
  <c r="AE68" i="8"/>
  <c r="AF48" i="8"/>
  <c r="Z65" i="18"/>
  <c r="Y80" i="18"/>
  <c r="O63" i="18"/>
  <c r="O78" i="18" s="1"/>
  <c r="N78" i="18"/>
  <c r="AC35" i="4"/>
  <c r="AB45" i="4"/>
  <c r="AD44" i="2"/>
  <c r="AE34" i="2"/>
  <c r="AB77" i="8"/>
  <c r="AC57" i="8"/>
  <c r="AA73" i="18"/>
  <c r="AB58" i="18"/>
  <c r="AB83" i="9"/>
  <c r="AC63" i="9"/>
  <c r="Z63" i="16"/>
  <c r="Y83" i="16"/>
  <c r="AB73" i="9"/>
  <c r="AC53" i="9"/>
  <c r="AA47" i="4"/>
  <c r="AC83" i="8"/>
  <c r="AD63" i="8"/>
  <c r="Y69" i="17"/>
  <c r="AD31" i="4"/>
  <c r="AC41" i="4"/>
  <c r="T43" i="13"/>
  <c r="U33" i="13"/>
  <c r="Y87" i="11"/>
  <c r="AC47" i="2"/>
  <c r="AD37" i="3" l="1"/>
  <c r="AD40" i="3"/>
  <c r="AD47" i="3" s="1"/>
  <c r="AE30" i="3"/>
  <c r="AA50" i="16"/>
  <c r="Z70" i="16"/>
  <c r="AA67" i="11"/>
  <c r="AA71" i="11"/>
  <c r="AB51" i="11"/>
  <c r="AD76" i="10"/>
  <c r="AE56" i="10"/>
  <c r="AE43" i="3"/>
  <c r="AF33" i="3"/>
  <c r="AE35" i="5"/>
  <c r="AD45" i="5"/>
  <c r="X79" i="17"/>
  <c r="Y59" i="17"/>
  <c r="Y79" i="17" s="1"/>
  <c r="AF32" i="3"/>
  <c r="AE42" i="3"/>
  <c r="W85" i="17"/>
  <c r="AD74" i="9"/>
  <c r="AE54" i="9"/>
  <c r="AC78" i="8"/>
  <c r="AD58" i="8"/>
  <c r="AC66" i="11"/>
  <c r="AB86" i="11"/>
  <c r="AC64" i="11"/>
  <c r="AB84" i="11"/>
  <c r="S29" i="13"/>
  <c r="R39" i="13"/>
  <c r="R35" i="13"/>
  <c r="AC46" i="4"/>
  <c r="AD36" i="4"/>
  <c r="AC64" i="10"/>
  <c r="AD48" i="10"/>
  <c r="AC68" i="10"/>
  <c r="Z59" i="16"/>
  <c r="Y79" i="16"/>
  <c r="X70" i="17"/>
  <c r="Y50" i="17"/>
  <c r="X65" i="17"/>
  <c r="AF61" i="10"/>
  <c r="AF81" i="10" s="1"/>
  <c r="AE81" i="10"/>
  <c r="AC70" i="9"/>
  <c r="AD50" i="9"/>
  <c r="AA69" i="16"/>
  <c r="AB49" i="16"/>
  <c r="AD52" i="9"/>
  <c r="AC72" i="9"/>
  <c r="AA60" i="16"/>
  <c r="Z80" i="16"/>
  <c r="AD78" i="10"/>
  <c r="AE58" i="10"/>
  <c r="Z77" i="18"/>
  <c r="AA62" i="18"/>
  <c r="AE37" i="1"/>
  <c r="AE40" i="1"/>
  <c r="AE47" i="1" s="1"/>
  <c r="AF30" i="1"/>
  <c r="AF43" i="2"/>
  <c r="AG33" i="2"/>
  <c r="AD79" i="10"/>
  <c r="AE59" i="10"/>
  <c r="AB83" i="11"/>
  <c r="AC63" i="11"/>
  <c r="AD69" i="10"/>
  <c r="AE49" i="10"/>
  <c r="AF45" i="3"/>
  <c r="AG35" i="3"/>
  <c r="AC79" i="9"/>
  <c r="AD59" i="9"/>
  <c r="AH32" i="1"/>
  <c r="AH42" i="1" s="1"/>
  <c r="AG42" i="1"/>
  <c r="AA56" i="16"/>
  <c r="Z76" i="16"/>
  <c r="AB58" i="11"/>
  <c r="AA78" i="11"/>
  <c r="AA73" i="11"/>
  <c r="AB53" i="11"/>
  <c r="AD75" i="10"/>
  <c r="AE55" i="10"/>
  <c r="AD82" i="10"/>
  <c r="AE62" i="10"/>
  <c r="AA64" i="16"/>
  <c r="Z84" i="16"/>
  <c r="AB84" i="10"/>
  <c r="AD72" i="10"/>
  <c r="AE52" i="10"/>
  <c r="AC73" i="8"/>
  <c r="AD53" i="8"/>
  <c r="AD80" i="8"/>
  <c r="AE60" i="8"/>
  <c r="AA74" i="11"/>
  <c r="AB54" i="11"/>
  <c r="AB77" i="11"/>
  <c r="AC57" i="11"/>
  <c r="AG46" i="1"/>
  <c r="AH36" i="1"/>
  <c r="AH46" i="1" s="1"/>
  <c r="AC77" i="8"/>
  <c r="AD57" i="8"/>
  <c r="AA62" i="16"/>
  <c r="Z82" i="16"/>
  <c r="AG34" i="3"/>
  <c r="AF44" i="3"/>
  <c r="X77" i="17"/>
  <c r="Y57" i="17"/>
  <c r="Y77" i="17" s="1"/>
  <c r="AF31" i="3"/>
  <c r="AE41" i="3"/>
  <c r="AD60" i="10"/>
  <c r="AC80" i="10"/>
  <c r="AC71" i="9"/>
  <c r="AD51" i="9"/>
  <c r="AD74" i="10"/>
  <c r="AE54" i="10"/>
  <c r="AA63" i="18"/>
  <c r="Z78" i="18"/>
  <c r="AD70" i="8"/>
  <c r="AE50" i="8"/>
  <c r="AF35" i="2"/>
  <c r="AE45" i="2"/>
  <c r="S44" i="13"/>
  <c r="T34" i="13"/>
  <c r="AC69" i="9"/>
  <c r="AD49" i="9"/>
  <c r="AA75" i="11"/>
  <c r="AB55" i="11"/>
  <c r="AB41" i="5"/>
  <c r="AC31" i="5"/>
  <c r="AG36" i="2"/>
  <c r="AF46" i="2"/>
  <c r="AE62" i="9"/>
  <c r="AD82" i="9"/>
  <c r="AD42" i="5"/>
  <c r="AE32" i="5"/>
  <c r="AB43" i="4"/>
  <c r="AC33" i="4"/>
  <c r="AA47" i="5"/>
  <c r="Y55" i="17"/>
  <c r="Y75" i="17" s="1"/>
  <c r="X75" i="17"/>
  <c r="S31" i="13"/>
  <c r="R41" i="13"/>
  <c r="AB79" i="11"/>
  <c r="AC59" i="11"/>
  <c r="AD69" i="8"/>
  <c r="AE49" i="8"/>
  <c r="AD61" i="9"/>
  <c r="AC81" i="9"/>
  <c r="AH31" i="1"/>
  <c r="AH41" i="1" s="1"/>
  <c r="AG41" i="1"/>
  <c r="Z53" i="16"/>
  <c r="Y73" i="16"/>
  <c r="Y85" i="16" s="1"/>
  <c r="Y65" i="16"/>
  <c r="AA76" i="18"/>
  <c r="AB61" i="18"/>
  <c r="AB81" i="11"/>
  <c r="AC61" i="11"/>
  <c r="AB43" i="5"/>
  <c r="AC33" i="5"/>
  <c r="AE46" i="3"/>
  <c r="AF36" i="3"/>
  <c r="AC74" i="8"/>
  <c r="AC84" i="8" s="1"/>
  <c r="AD54" i="8"/>
  <c r="AC77" i="9"/>
  <c r="AD57" i="9"/>
  <c r="AD83" i="8"/>
  <c r="AE63" i="8"/>
  <c r="AC73" i="9"/>
  <c r="AD53" i="9"/>
  <c r="AD35" i="4"/>
  <c r="AC45" i="4"/>
  <c r="U43" i="13"/>
  <c r="V33" i="13"/>
  <c r="AA63" i="16"/>
  <c r="Z83" i="16"/>
  <c r="AC37" i="4"/>
  <c r="AC40" i="4"/>
  <c r="AD30" i="4"/>
  <c r="AB60" i="11"/>
  <c r="AA80" i="11"/>
  <c r="AE44" i="1"/>
  <c r="AF34" i="1"/>
  <c r="AG42" i="2"/>
  <c r="AH32" i="2"/>
  <c r="AH42" i="2" s="1"/>
  <c r="Z74" i="18"/>
  <c r="AA59" i="18"/>
  <c r="Z67" i="18"/>
  <c r="AA54" i="16"/>
  <c r="Z74" i="16"/>
  <c r="AC80" i="9"/>
  <c r="AD60" i="9"/>
  <c r="AB52" i="11"/>
  <c r="AA72" i="11"/>
  <c r="AE37" i="2"/>
  <c r="AE40" i="2"/>
  <c r="AF30" i="2"/>
  <c r="AC30" i="5"/>
  <c r="AB37" i="5"/>
  <c r="AB40" i="5"/>
  <c r="AB47" i="5" s="1"/>
  <c r="AC75" i="8"/>
  <c r="AD55" i="8"/>
  <c r="AB82" i="11"/>
  <c r="AC62" i="11"/>
  <c r="Z87" i="11"/>
  <c r="Z60" i="18"/>
  <c r="Y75" i="18"/>
  <c r="AD63" i="9"/>
  <c r="AC83" i="9"/>
  <c r="AB47" i="4"/>
  <c r="AD34" i="4"/>
  <c r="AC44" i="4"/>
  <c r="AE81" i="8"/>
  <c r="AF61" i="8"/>
  <c r="AF81" i="8" s="1"/>
  <c r="AD70" i="10"/>
  <c r="AE50" i="10"/>
  <c r="AF45" i="1"/>
  <c r="AG35" i="1"/>
  <c r="AD73" i="10"/>
  <c r="AE53" i="10"/>
  <c r="AD47" i="2"/>
  <c r="AD71" i="10"/>
  <c r="AE51" i="10"/>
  <c r="AC34" i="5"/>
  <c r="AB44" i="5"/>
  <c r="AC42" i="4"/>
  <c r="AD32" i="4"/>
  <c r="AF68" i="8"/>
  <c r="AF34" i="2"/>
  <c r="AE44" i="2"/>
  <c r="AF62" i="8"/>
  <c r="AF82" i="8" s="1"/>
  <c r="AE82" i="8"/>
  <c r="Z81" i="18"/>
  <c r="AA66" i="18"/>
  <c r="S32" i="13"/>
  <c r="R42" i="13"/>
  <c r="Y79" i="18"/>
  <c r="Y82" i="18" s="1"/>
  <c r="Z64" i="18"/>
  <c r="AC85" i="11"/>
  <c r="AD65" i="11"/>
  <c r="AC72" i="18"/>
  <c r="AD57" i="18"/>
  <c r="AD77" i="10"/>
  <c r="AE57" i="10"/>
  <c r="AD71" i="8"/>
  <c r="AE51" i="8"/>
  <c r="AA58" i="16"/>
  <c r="Z78" i="16"/>
  <c r="S40" i="13"/>
  <c r="T30" i="13"/>
  <c r="AH31" i="2"/>
  <c r="AH41" i="2" s="1"/>
  <c r="AG41" i="2"/>
  <c r="AG33" i="1"/>
  <c r="AF43" i="1"/>
  <c r="O74" i="18"/>
  <c r="O82" i="18" s="1"/>
  <c r="O67" i="18"/>
  <c r="O68" i="18" s="1"/>
  <c r="X73" i="17"/>
  <c r="Y53" i="17"/>
  <c r="Y73" i="17" s="1"/>
  <c r="AE31" i="4"/>
  <c r="AD41" i="4"/>
  <c r="AB73" i="18"/>
  <c r="AC58" i="18"/>
  <c r="AA65" i="18"/>
  <c r="Z80" i="18"/>
  <c r="AC64" i="8"/>
  <c r="X80" i="17"/>
  <c r="Y60" i="17"/>
  <c r="Y80" i="17" s="1"/>
  <c r="AC64" i="9"/>
  <c r="AC68" i="9"/>
  <c r="AD48" i="9"/>
  <c r="AC76" i="8"/>
  <c r="AD56" i="8"/>
  <c r="AD78" i="9"/>
  <c r="AE58" i="9"/>
  <c r="AA71" i="16"/>
  <c r="AB51" i="16"/>
  <c r="AB71" i="16" s="1"/>
  <c r="AC75" i="9"/>
  <c r="AD55" i="9"/>
  <c r="AB56" i="11"/>
  <c r="AA76" i="11"/>
  <c r="AA57" i="16"/>
  <c r="Z77" i="16"/>
  <c r="N82" i="18"/>
  <c r="AF51" i="10" l="1"/>
  <c r="AF71" i="10" s="1"/>
  <c r="AE71" i="10"/>
  <c r="AE54" i="8"/>
  <c r="AD74" i="8"/>
  <c r="AA53" i="16"/>
  <c r="Z73" i="16"/>
  <c r="Z65" i="16"/>
  <c r="AG46" i="2"/>
  <c r="AH36" i="2"/>
  <c r="AH46" i="2" s="1"/>
  <c r="AF55" i="10"/>
  <c r="AF75" i="10" s="1"/>
  <c r="AE75" i="10"/>
  <c r="AG45" i="3"/>
  <c r="AH35" i="3"/>
  <c r="AH45" i="3" s="1"/>
  <c r="AD70" i="9"/>
  <c r="AE50" i="9"/>
  <c r="AD46" i="4"/>
  <c r="AE36" i="4"/>
  <c r="AE74" i="9"/>
  <c r="AF54" i="9"/>
  <c r="AF74" i="9" s="1"/>
  <c r="AD34" i="5"/>
  <c r="AC44" i="5"/>
  <c r="AE70" i="8"/>
  <c r="AF50" i="8"/>
  <c r="AF70" i="8" s="1"/>
  <c r="AE34" i="4"/>
  <c r="AD44" i="4"/>
  <c r="AB59" i="18"/>
  <c r="AA74" i="18"/>
  <c r="AA83" i="16"/>
  <c r="AB63" i="16"/>
  <c r="AB83" i="16" s="1"/>
  <c r="T31" i="13"/>
  <c r="S41" i="13"/>
  <c r="AC41" i="5"/>
  <c r="AD31" i="5"/>
  <c r="AF60" i="8"/>
  <c r="AF80" i="8" s="1"/>
  <c r="AE80" i="8"/>
  <c r="AB62" i="18"/>
  <c r="AA77" i="18"/>
  <c r="AB67" i="11"/>
  <c r="AB71" i="11"/>
  <c r="AC51" i="11"/>
  <c r="AD30" i="5"/>
  <c r="AC37" i="5"/>
  <c r="AC40" i="5"/>
  <c r="AC47" i="5" s="1"/>
  <c r="V43" i="13"/>
  <c r="W33" i="13"/>
  <c r="W43" i="13" s="1"/>
  <c r="AF46" i="3"/>
  <c r="AG36" i="3"/>
  <c r="AA78" i="18"/>
  <c r="AB63" i="18"/>
  <c r="AH34" i="3"/>
  <c r="AH44" i="3" s="1"/>
  <c r="AG44" i="3"/>
  <c r="AB73" i="11"/>
  <c r="AC53" i="11"/>
  <c r="AE69" i="10"/>
  <c r="AF49" i="10"/>
  <c r="AF69" i="10" s="1"/>
  <c r="AH33" i="1"/>
  <c r="AH43" i="1" s="1"/>
  <c r="AG43" i="1"/>
  <c r="AD72" i="18"/>
  <c r="AF37" i="2"/>
  <c r="AF40" i="2"/>
  <c r="AG30" i="2"/>
  <c r="AB75" i="11"/>
  <c r="AC55" i="11"/>
  <c r="AF54" i="10"/>
  <c r="AF74" i="10" s="1"/>
  <c r="AE74" i="10"/>
  <c r="AD73" i="8"/>
  <c r="AE53" i="8"/>
  <c r="AF58" i="10"/>
  <c r="AF78" i="10" s="1"/>
  <c r="AE78" i="10"/>
  <c r="R45" i="13"/>
  <c r="AB76" i="11"/>
  <c r="AC56" i="11"/>
  <c r="AE77" i="10"/>
  <c r="AF57" i="10"/>
  <c r="AF77" i="10" s="1"/>
  <c r="AB65" i="18"/>
  <c r="AA80" i="18"/>
  <c r="AG34" i="2"/>
  <c r="AF44" i="2"/>
  <c r="AE73" i="10"/>
  <c r="AF53" i="10"/>
  <c r="AF73" i="10" s="1"/>
  <c r="AE63" i="9"/>
  <c r="AD83" i="9"/>
  <c r="AE47" i="2"/>
  <c r="AC43" i="5"/>
  <c r="AD33" i="5"/>
  <c r="AB62" i="16"/>
  <c r="AB82" i="16" s="1"/>
  <c r="AA82" i="16"/>
  <c r="AC83" i="11"/>
  <c r="AD63" i="11"/>
  <c r="T29" i="13"/>
  <c r="S39" i="13"/>
  <c r="S45" i="13" s="1"/>
  <c r="S35" i="13"/>
  <c r="AG32" i="3"/>
  <c r="AF42" i="3"/>
  <c r="AA81" i="18"/>
  <c r="AB66" i="18"/>
  <c r="AD85" i="11"/>
  <c r="AE65" i="11"/>
  <c r="AE85" i="11" s="1"/>
  <c r="AF44" i="1"/>
  <c r="AG34" i="1"/>
  <c r="AE35" i="4"/>
  <c r="AD45" i="4"/>
  <c r="AD81" i="9"/>
  <c r="AE61" i="9"/>
  <c r="AC43" i="4"/>
  <c r="AD33" i="4"/>
  <c r="AE49" i="9"/>
  <c r="AD69" i="9"/>
  <c r="AD71" i="9"/>
  <c r="AE51" i="9"/>
  <c r="AD77" i="8"/>
  <c r="AE57" i="8"/>
  <c r="AF52" i="10"/>
  <c r="AF72" i="10" s="1"/>
  <c r="AE72" i="10"/>
  <c r="AB78" i="11"/>
  <c r="AC58" i="11"/>
  <c r="Y70" i="17"/>
  <c r="Y85" i="17" s="1"/>
  <c r="Y65" i="17"/>
  <c r="AA70" i="16"/>
  <c r="AB50" i="16"/>
  <c r="AB70" i="16" s="1"/>
  <c r="AF56" i="10"/>
  <c r="AF76" i="10" s="1"/>
  <c r="AE76" i="10"/>
  <c r="AE78" i="9"/>
  <c r="AF58" i="9"/>
  <c r="AF78" i="9" s="1"/>
  <c r="AC73" i="18"/>
  <c r="AD58" i="18"/>
  <c r="AD73" i="18" s="1"/>
  <c r="AD76" i="8"/>
  <c r="AE56" i="8"/>
  <c r="T40" i="13"/>
  <c r="U30" i="13"/>
  <c r="AH35" i="1"/>
  <c r="AH45" i="1" s="1"/>
  <c r="AG45" i="1"/>
  <c r="AA60" i="18"/>
  <c r="Z75" i="18"/>
  <c r="Z82" i="18" s="1"/>
  <c r="AD73" i="9"/>
  <c r="AE53" i="9"/>
  <c r="AC81" i="11"/>
  <c r="AD61" i="11"/>
  <c r="AF59" i="10"/>
  <c r="AF79" i="10" s="1"/>
  <c r="AE79" i="10"/>
  <c r="AB60" i="16"/>
  <c r="AB80" i="16" s="1"/>
  <c r="AA80" i="16"/>
  <c r="X85" i="17"/>
  <c r="AF30" i="3"/>
  <c r="AE37" i="3"/>
  <c r="AE40" i="3"/>
  <c r="AE47" i="3" s="1"/>
  <c r="Z79" i="18"/>
  <c r="AA64" i="18"/>
  <c r="AC52" i="11"/>
  <c r="AB72" i="11"/>
  <c r="AD64" i="8"/>
  <c r="AE42" i="5"/>
  <c r="AF32" i="5"/>
  <c r="AF42" i="5" s="1"/>
  <c r="T44" i="13"/>
  <c r="U34" i="13"/>
  <c r="AB56" i="16"/>
  <c r="AB76" i="16" s="1"/>
  <c r="AA76" i="16"/>
  <c r="AC84" i="11"/>
  <c r="AD64" i="11"/>
  <c r="AB74" i="11"/>
  <c r="AC54" i="11"/>
  <c r="AE32" i="4"/>
  <c r="AD42" i="4"/>
  <c r="AF50" i="10"/>
  <c r="AF70" i="10" s="1"/>
  <c r="AE70" i="10"/>
  <c r="AC82" i="11"/>
  <c r="AD62" i="11"/>
  <c r="AD80" i="9"/>
  <c r="AE60" i="9"/>
  <c r="AC60" i="11"/>
  <c r="AB80" i="11"/>
  <c r="AE83" i="8"/>
  <c r="AF63" i="8"/>
  <c r="AF83" i="8" s="1"/>
  <c r="AC61" i="18"/>
  <c r="AB76" i="18"/>
  <c r="AE69" i="8"/>
  <c r="AF49" i="8"/>
  <c r="AD80" i="10"/>
  <c r="AE60" i="10"/>
  <c r="AG43" i="2"/>
  <c r="AH33" i="2"/>
  <c r="AH43" i="2" s="1"/>
  <c r="AE52" i="9"/>
  <c r="AD72" i="9"/>
  <c r="AA59" i="16"/>
  <c r="Z79" i="16"/>
  <c r="AF35" i="5"/>
  <c r="AF45" i="5" s="1"/>
  <c r="AE45" i="5"/>
  <c r="AA74" i="16"/>
  <c r="AB54" i="16"/>
  <c r="AB74" i="16" s="1"/>
  <c r="AD75" i="9"/>
  <c r="AE55" i="9"/>
  <c r="AF31" i="4"/>
  <c r="AF41" i="4" s="1"/>
  <c r="AE41" i="4"/>
  <c r="AA77" i="16"/>
  <c r="AB57" i="16"/>
  <c r="AB77" i="16" s="1"/>
  <c r="AD64" i="9"/>
  <c r="AD68" i="9"/>
  <c r="AE48" i="9"/>
  <c r="AA78" i="16"/>
  <c r="AB58" i="16"/>
  <c r="AB78" i="16" s="1"/>
  <c r="AD37" i="4"/>
  <c r="AD40" i="4"/>
  <c r="AE30" i="4"/>
  <c r="AC77" i="11"/>
  <c r="AD57" i="11"/>
  <c r="AA84" i="16"/>
  <c r="AB64" i="16"/>
  <c r="AB84" i="16" s="1"/>
  <c r="AC84" i="10"/>
  <c r="AC86" i="11"/>
  <c r="AD66" i="11"/>
  <c r="AG33" i="3"/>
  <c r="AF43" i="3"/>
  <c r="AC84" i="9"/>
  <c r="AE71" i="8"/>
  <c r="AF51" i="8"/>
  <c r="AF71" i="8" s="1"/>
  <c r="T32" i="13"/>
  <c r="S42" i="13"/>
  <c r="AD75" i="8"/>
  <c r="AD84" i="8" s="1"/>
  <c r="AE55" i="8"/>
  <c r="AC47" i="4"/>
  <c r="AD77" i="9"/>
  <c r="AE57" i="9"/>
  <c r="AC79" i="11"/>
  <c r="AD59" i="11"/>
  <c r="AF62" i="9"/>
  <c r="AF82" i="9" s="1"/>
  <c r="AE82" i="9"/>
  <c r="AG35" i="2"/>
  <c r="AF45" i="2"/>
  <c r="AF41" i="3"/>
  <c r="AG31" i="3"/>
  <c r="AF62" i="10"/>
  <c r="AF82" i="10" s="1"/>
  <c r="AE82" i="10"/>
  <c r="AD79" i="9"/>
  <c r="AE59" i="9"/>
  <c r="AF37" i="1"/>
  <c r="AF40" i="1"/>
  <c r="AF47" i="1" s="1"/>
  <c r="AG30" i="1"/>
  <c r="AB69" i="16"/>
  <c r="AD64" i="10"/>
  <c r="AD68" i="10"/>
  <c r="AD84" i="10" s="1"/>
  <c r="AE48" i="10"/>
  <c r="AD78" i="8"/>
  <c r="AE58" i="8"/>
  <c r="AA79" i="18" l="1"/>
  <c r="AB64" i="18"/>
  <c r="AF53" i="9"/>
  <c r="AF73" i="9" s="1"/>
  <c r="AE73" i="9"/>
  <c r="U29" i="13"/>
  <c r="T39" i="13"/>
  <c r="T35" i="13"/>
  <c r="AC74" i="11"/>
  <c r="AD54" i="11"/>
  <c r="AE45" i="4"/>
  <c r="AF35" i="4"/>
  <c r="AF45" i="4" s="1"/>
  <c r="AE63" i="11"/>
  <c r="AE83" i="11" s="1"/>
  <c r="AD83" i="11"/>
  <c r="AG44" i="2"/>
  <c r="AH34" i="2"/>
  <c r="AH44" i="2" s="1"/>
  <c r="AE34" i="5"/>
  <c r="AD44" i="5"/>
  <c r="AE75" i="8"/>
  <c r="AF55" i="8"/>
  <c r="AF75" i="8" s="1"/>
  <c r="AD84" i="11"/>
  <c r="AE64" i="11"/>
  <c r="AE84" i="11" s="1"/>
  <c r="AD60" i="11"/>
  <c r="AC80" i="11"/>
  <c r="AE77" i="8"/>
  <c r="AF57" i="8"/>
  <c r="AF77" i="8" s="1"/>
  <c r="AG44" i="1"/>
  <c r="AH34" i="1"/>
  <c r="AH44" i="1" s="1"/>
  <c r="AC73" i="11"/>
  <c r="AD53" i="11"/>
  <c r="U31" i="13"/>
  <c r="T41" i="13"/>
  <c r="AA79" i="16"/>
  <c r="AB59" i="16"/>
  <c r="AB79" i="16" s="1"/>
  <c r="AH35" i="2"/>
  <c r="AH45" i="2" s="1"/>
  <c r="AG45" i="2"/>
  <c r="AE80" i="9"/>
  <c r="AF60" i="9"/>
  <c r="AF80" i="9" s="1"/>
  <c r="AA75" i="18"/>
  <c r="AB60" i="18"/>
  <c r="AB80" i="18"/>
  <c r="AC65" i="18"/>
  <c r="AC75" i="11"/>
  <c r="AD55" i="11"/>
  <c r="AE30" i="5"/>
  <c r="AD37" i="5"/>
  <c r="AD40" i="5"/>
  <c r="Z85" i="16"/>
  <c r="AE72" i="9"/>
  <c r="AF52" i="9"/>
  <c r="AF72" i="9" s="1"/>
  <c r="AE75" i="9"/>
  <c r="AF55" i="9"/>
  <c r="AF75" i="9" s="1"/>
  <c r="AF40" i="3"/>
  <c r="AF47" i="3" s="1"/>
  <c r="AF37" i="3"/>
  <c r="AG30" i="3"/>
  <c r="AE71" i="9"/>
  <c r="AF51" i="9"/>
  <c r="AF71" i="9" s="1"/>
  <c r="AC67" i="11"/>
  <c r="AC71" i="11"/>
  <c r="AD51" i="11"/>
  <c r="AE46" i="4"/>
  <c r="AF36" i="4"/>
  <c r="AF46" i="4" s="1"/>
  <c r="AA73" i="16"/>
  <c r="AA85" i="16" s="1"/>
  <c r="AB53" i="16"/>
  <c r="AA65" i="16"/>
  <c r="AE31" i="5"/>
  <c r="AD41" i="5"/>
  <c r="AD82" i="11"/>
  <c r="AE62" i="11"/>
  <c r="AE82" i="11" s="1"/>
  <c r="V34" i="13"/>
  <c r="U44" i="13"/>
  <c r="AD43" i="5"/>
  <c r="AE33" i="5"/>
  <c r="AG37" i="2"/>
  <c r="AG40" i="2"/>
  <c r="AH30" i="2"/>
  <c r="AA67" i="18"/>
  <c r="AD77" i="11"/>
  <c r="AE57" i="11"/>
  <c r="AE77" i="11" s="1"/>
  <c r="AE40" i="4"/>
  <c r="AF30" i="4"/>
  <c r="AC66" i="18"/>
  <c r="AB81" i="18"/>
  <c r="AC76" i="11"/>
  <c r="AD56" i="11"/>
  <c r="AF47" i="2"/>
  <c r="AB78" i="18"/>
  <c r="AC63" i="18"/>
  <c r="AA82" i="18"/>
  <c r="AE70" i="9"/>
  <c r="AF50" i="9"/>
  <c r="AF70" i="9" s="1"/>
  <c r="AE74" i="8"/>
  <c r="AF54" i="8"/>
  <c r="AF74" i="8" s="1"/>
  <c r="AD52" i="11"/>
  <c r="AC72" i="11"/>
  <c r="AF48" i="10"/>
  <c r="AE64" i="10"/>
  <c r="AE68" i="10"/>
  <c r="T42" i="13"/>
  <c r="U32" i="13"/>
  <c r="AH33" i="3"/>
  <c r="AH43" i="3" s="1"/>
  <c r="AG43" i="3"/>
  <c r="AF69" i="8"/>
  <c r="V30" i="13"/>
  <c r="U40" i="13"/>
  <c r="AF49" i="9"/>
  <c r="AF69" i="9" s="1"/>
  <c r="AE69" i="9"/>
  <c r="AB74" i="18"/>
  <c r="AC59" i="18"/>
  <c r="AB67" i="18"/>
  <c r="AE73" i="8"/>
  <c r="AE84" i="8" s="1"/>
  <c r="AF53" i="8"/>
  <c r="AF73" i="8" s="1"/>
  <c r="AD47" i="4"/>
  <c r="AF59" i="9"/>
  <c r="AF79" i="9" s="1"/>
  <c r="AE79" i="9"/>
  <c r="AF57" i="9"/>
  <c r="AF77" i="9" s="1"/>
  <c r="AE77" i="9"/>
  <c r="AD86" i="11"/>
  <c r="AE66" i="11"/>
  <c r="AE86" i="11" s="1"/>
  <c r="AD43" i="4"/>
  <c r="AE33" i="4"/>
  <c r="AE37" i="4" s="1"/>
  <c r="AH36" i="3"/>
  <c r="AH46" i="3" s="1"/>
  <c r="AG46" i="3"/>
  <c r="AB77" i="18"/>
  <c r="AC62" i="18"/>
  <c r="AE80" i="10"/>
  <c r="AF60" i="10"/>
  <c r="AF80" i="10" s="1"/>
  <c r="AD79" i="11"/>
  <c r="AE59" i="11"/>
  <c r="AE79" i="11" s="1"/>
  <c r="AE64" i="8"/>
  <c r="AE76" i="8"/>
  <c r="AF56" i="8"/>
  <c r="AF76" i="8" s="1"/>
  <c r="AH32" i="3"/>
  <c r="AH42" i="3" s="1"/>
  <c r="AG42" i="3"/>
  <c r="AF63" i="9"/>
  <c r="AF83" i="9" s="1"/>
  <c r="AE83" i="9"/>
  <c r="AF34" i="4"/>
  <c r="AF44" i="4" s="1"/>
  <c r="AE44" i="4"/>
  <c r="AG41" i="3"/>
  <c r="AH31" i="3"/>
  <c r="AH41" i="3" s="1"/>
  <c r="AG37" i="1"/>
  <c r="AG40" i="1"/>
  <c r="AG47" i="1" s="1"/>
  <c r="AH30" i="1"/>
  <c r="AE68" i="9"/>
  <c r="AF48" i="9"/>
  <c r="AE64" i="9"/>
  <c r="AE78" i="8"/>
  <c r="AF58" i="8"/>
  <c r="AF78" i="8" s="1"/>
  <c r="AD84" i="9"/>
  <c r="AC76" i="18"/>
  <c r="AD61" i="18"/>
  <c r="AD76" i="18" s="1"/>
  <c r="AF32" i="4"/>
  <c r="AF42" i="4" s="1"/>
  <c r="AE42" i="4"/>
  <c r="AE61" i="11"/>
  <c r="AE81" i="11" s="1"/>
  <c r="AD81" i="11"/>
  <c r="AC78" i="11"/>
  <c r="AD58" i="11"/>
  <c r="AE81" i="9"/>
  <c r="AF61" i="9"/>
  <c r="AF81" i="9" s="1"/>
  <c r="AD72" i="11" l="1"/>
  <c r="AE52" i="11"/>
  <c r="AE72" i="11" s="1"/>
  <c r="AC81" i="18"/>
  <c r="AD66" i="18"/>
  <c r="AD81" i="18" s="1"/>
  <c r="AD47" i="5"/>
  <c r="AD80" i="11"/>
  <c r="AE60" i="11"/>
  <c r="AE80" i="11" s="1"/>
  <c r="AF37" i="4"/>
  <c r="AF40" i="4"/>
  <c r="AF47" i="4" s="1"/>
  <c r="W34" i="13"/>
  <c r="W44" i="13" s="1"/>
  <c r="V44" i="13"/>
  <c r="AD74" i="11"/>
  <c r="AE54" i="11"/>
  <c r="AE74" i="11" s="1"/>
  <c r="AF64" i="8"/>
  <c r="AF30" i="5"/>
  <c r="AE37" i="5"/>
  <c r="AE40" i="5"/>
  <c r="AE47" i="5" s="1"/>
  <c r="AF84" i="8"/>
  <c r="AD75" i="11"/>
  <c r="AE55" i="11"/>
  <c r="AE75" i="11" s="1"/>
  <c r="AG37" i="3"/>
  <c r="AG40" i="3"/>
  <c r="AG47" i="3" s="1"/>
  <c r="AH30" i="3"/>
  <c r="U41" i="13"/>
  <c r="V31" i="13"/>
  <c r="T45" i="13"/>
  <c r="AD78" i="11"/>
  <c r="AE58" i="11"/>
  <c r="AE78" i="11" s="1"/>
  <c r="AE41" i="5"/>
  <c r="AF31" i="5"/>
  <c r="AF41" i="5" s="1"/>
  <c r="AC80" i="18"/>
  <c r="AD65" i="18"/>
  <c r="AD80" i="18" s="1"/>
  <c r="AE53" i="11"/>
  <c r="AE73" i="11" s="1"/>
  <c r="AD73" i="11"/>
  <c r="V29" i="13"/>
  <c r="U39" i="13"/>
  <c r="U35" i="13"/>
  <c r="AE43" i="4"/>
  <c r="AE47" i="4" s="1"/>
  <c r="AF33" i="4"/>
  <c r="AF43" i="4" s="1"/>
  <c r="U42" i="13"/>
  <c r="V32" i="13"/>
  <c r="AC78" i="18"/>
  <c r="AD63" i="18"/>
  <c r="AD78" i="18" s="1"/>
  <c r="AF34" i="5"/>
  <c r="AF44" i="5" s="1"/>
  <c r="AE44" i="5"/>
  <c r="AH40" i="1"/>
  <c r="AH47" i="1" s="1"/>
  <c r="AH37" i="1"/>
  <c r="AH37" i="2"/>
  <c r="AH40" i="2"/>
  <c r="AH47" i="2" s="1"/>
  <c r="AB73" i="16"/>
  <c r="AB85" i="16" s="1"/>
  <c r="AB65" i="16"/>
  <c r="AB75" i="18"/>
  <c r="AC60" i="18"/>
  <c r="AD67" i="11"/>
  <c r="AD71" i="11"/>
  <c r="AE51" i="11"/>
  <c r="W30" i="13"/>
  <c r="W40" i="13" s="1"/>
  <c r="V40" i="13"/>
  <c r="AC74" i="18"/>
  <c r="AD59" i="18"/>
  <c r="AE84" i="10"/>
  <c r="AG47" i="2"/>
  <c r="AB79" i="18"/>
  <c r="AC64" i="18"/>
  <c r="AF68" i="9"/>
  <c r="AF84" i="9" s="1"/>
  <c r="AF64" i="9"/>
  <c r="AB82" i="18"/>
  <c r="AD76" i="11"/>
  <c r="AE56" i="11"/>
  <c r="AE76" i="11" s="1"/>
  <c r="AC77" i="18"/>
  <c r="AD62" i="18"/>
  <c r="AD77" i="18" s="1"/>
  <c r="AE84" i="9"/>
  <c r="AF68" i="10"/>
  <c r="AF84" i="10" s="1"/>
  <c r="AF64" i="10"/>
  <c r="AE43" i="5"/>
  <c r="AF33" i="5"/>
  <c r="AF43" i="5" s="1"/>
  <c r="AH37" i="3" l="1"/>
  <c r="AH40" i="3"/>
  <c r="AH47" i="3" s="1"/>
  <c r="W29" i="13"/>
  <c r="V39" i="13"/>
  <c r="V45" i="13" s="1"/>
  <c r="V35" i="13"/>
  <c r="V42" i="13"/>
  <c r="W32" i="13"/>
  <c r="W42" i="13" s="1"/>
  <c r="AE67" i="11"/>
  <c r="AE71" i="11"/>
  <c r="AD60" i="18"/>
  <c r="AD75" i="18" s="1"/>
  <c r="AC75" i="18"/>
  <c r="AC82" i="18" s="1"/>
  <c r="AF37" i="5"/>
  <c r="AF40" i="5"/>
  <c r="AF47" i="5" s="1"/>
  <c r="AD64" i="18"/>
  <c r="AD79" i="18" s="1"/>
  <c r="AC79" i="18"/>
  <c r="V41" i="13"/>
  <c r="W31" i="13"/>
  <c r="W41" i="13" s="1"/>
  <c r="AC67" i="18"/>
  <c r="AD74" i="18"/>
  <c r="U45" i="13"/>
  <c r="AD82" i="18" l="1"/>
  <c r="AD67" i="18"/>
  <c r="W39" i="13"/>
  <c r="W45" i="13" s="1"/>
  <c r="W3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6" authorId="0" shapeId="0" xr:uid="{00000000-0006-0000-0000-000003000000}">
      <text>
        <r>
          <rPr>
            <sz val="10"/>
            <color rgb="FF000000"/>
            <rFont val="Calibri"/>
            <scheme val="minor"/>
          </rPr>
          <t xml:space="preserve">260904 원바울 매니저 
"뉴트리시아 생산공장 부자재 부족으로 인한 1,150tu 미생산 &gt; 다음 생산 웨이브로 생산 예정"
</t>
        </r>
      </text>
    </comment>
    <comment ref="S7" authorId="0" shapeId="0" xr:uid="{00000000-0006-0000-0000-000004000000}">
      <text>
        <r>
          <rPr>
            <sz val="10"/>
            <color rgb="FF000000"/>
            <rFont val="Calibri"/>
            <scheme val="minor"/>
          </rPr>
          <t>AIR 입고
7,080cu</t>
        </r>
      </text>
    </comment>
    <comment ref="W7" authorId="0" shapeId="0" xr:uid="{00000000-0006-0000-0000-000001000000}">
      <text>
        <r>
          <rPr>
            <sz val="10"/>
            <color rgb="FF000000"/>
            <rFont val="Calibri"/>
            <scheme val="minor"/>
          </rPr>
          <t>추가 입고 (air &gt; sea 변경)
22plt
12,672cu
&gt; 생산 결과 10,940cu 생산</t>
        </r>
      </text>
    </comment>
    <comment ref="W10" authorId="0" shapeId="0" xr:uid="{00000000-0006-0000-0000-000005000000}">
      <text>
        <r>
          <rPr>
            <sz val="10"/>
            <color rgb="FF000000"/>
            <rFont val="Calibri"/>
            <scheme val="minor"/>
          </rPr>
          <t>AIR 입고
27,648cu</t>
        </r>
      </text>
    </comment>
    <comment ref="AA10" authorId="0" shapeId="0" xr:uid="{00000000-0006-0000-0000-000002000000}">
      <text>
        <r>
          <rPr>
            <sz val="10"/>
            <color rgb="FF000000"/>
            <rFont val="Calibri"/>
            <scheme val="minor"/>
          </rPr>
          <t>8월 생산분 2배 입고 요청</t>
        </r>
      </text>
    </comment>
    <comment ref="Y11" authorId="0" shapeId="0" xr:uid="{00000000-0006-0000-0000-000006000000}">
      <text>
        <r>
          <rPr>
            <sz val="10"/>
            <color rgb="FF000000"/>
            <rFont val="Calibri"/>
            <scheme val="minor"/>
          </rPr>
          <t>april leftover (2,424)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7" authorId="0" shapeId="0" xr:uid="{00000000-0006-0000-0100-000003000000}">
      <text>
        <r>
          <rPr>
            <sz val="10"/>
            <color rgb="FF000000"/>
            <rFont val="Calibri"/>
            <scheme val="minor"/>
          </rPr>
          <t>AIR 입고
7,080cu</t>
        </r>
      </text>
    </comment>
    <comment ref="W7" authorId="0" shapeId="0" xr:uid="{00000000-0006-0000-0100-000001000000}">
      <text>
        <r>
          <rPr>
            <sz val="10"/>
            <color rgb="FF000000"/>
            <rFont val="Calibri"/>
            <scheme val="minor"/>
          </rPr>
          <t>추가 입고 (air &gt; sea 변경)
22plt
12,672cu
&gt; 생산 결과 10,940cu 생산</t>
        </r>
      </text>
    </comment>
    <comment ref="W10" authorId="0" shapeId="0" xr:uid="{00000000-0006-0000-0100-000004000000}">
      <text>
        <r>
          <rPr>
            <sz val="10"/>
            <color rgb="FF000000"/>
            <rFont val="Calibri"/>
            <scheme val="minor"/>
          </rPr>
          <t>AIR 입고
27,648cu</t>
        </r>
      </text>
    </comment>
    <comment ref="AA10" authorId="0" shapeId="0" xr:uid="{00000000-0006-0000-0100-000002000000}">
      <text>
        <r>
          <rPr>
            <sz val="10"/>
            <color rgb="FF000000"/>
            <rFont val="Calibri"/>
            <scheme val="minor"/>
          </rPr>
          <t>8월 생산분 2배 입고 요청</t>
        </r>
      </text>
    </comment>
    <comment ref="Y11" authorId="0" shapeId="0" xr:uid="{00000000-0006-0000-0100-000005000000}">
      <text>
        <r>
          <rPr>
            <sz val="10"/>
            <color rgb="FF000000"/>
            <rFont val="Calibri"/>
            <scheme val="minor"/>
          </rPr>
          <t>april leftover (2,424)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7" authorId="0" shapeId="0" xr:uid="{00000000-0006-0000-0200-000003000000}">
      <text>
        <r>
          <rPr>
            <sz val="10"/>
            <color rgb="FF000000"/>
            <rFont val="Calibri"/>
            <scheme val="minor"/>
          </rPr>
          <t>AIR 입고
7,080cu</t>
        </r>
      </text>
    </comment>
    <comment ref="W7" authorId="0" shapeId="0" xr:uid="{00000000-0006-0000-0200-000001000000}">
      <text>
        <r>
          <rPr>
            <sz val="10"/>
            <color rgb="FF000000"/>
            <rFont val="Calibri"/>
            <scheme val="minor"/>
          </rPr>
          <t>추가 입고 (air &gt; sea 변경)
22plt
12,672cu
&gt; 생산 결과 10,940cu 생산</t>
        </r>
      </text>
    </comment>
    <comment ref="W10" authorId="0" shapeId="0" xr:uid="{00000000-0006-0000-0200-000004000000}">
      <text>
        <r>
          <rPr>
            <sz val="10"/>
            <color rgb="FF000000"/>
            <rFont val="Calibri"/>
            <scheme val="minor"/>
          </rPr>
          <t>AIR 입고
27,648cu</t>
        </r>
      </text>
    </comment>
    <comment ref="AA10" authorId="0" shapeId="0" xr:uid="{00000000-0006-0000-0200-000002000000}">
      <text>
        <r>
          <rPr>
            <sz val="10"/>
            <color rgb="FF000000"/>
            <rFont val="Calibri"/>
            <scheme val="minor"/>
          </rPr>
          <t>8월 생산분 2배 입고 요청</t>
        </r>
      </text>
    </comment>
    <comment ref="Y11" authorId="0" shapeId="0" xr:uid="{00000000-0006-0000-0200-000005000000}">
      <text>
        <r>
          <rPr>
            <sz val="10"/>
            <color rgb="FF000000"/>
            <rFont val="Calibri"/>
            <scheme val="minor"/>
          </rPr>
          <t>april leftover (2,424)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7" authorId="0" shapeId="0" xr:uid="{00000000-0006-0000-0300-000002000000}">
      <text>
        <r>
          <rPr>
            <sz val="10"/>
            <color rgb="FF000000"/>
            <rFont val="Calibri"/>
            <scheme val="minor"/>
          </rPr>
          <t>AIR 입고
7,080cu</t>
        </r>
      </text>
    </comment>
    <comment ref="V7" authorId="0" shapeId="0" xr:uid="{00000000-0006-0000-0300-000005000000}">
      <text>
        <r>
          <rPr>
            <sz val="10"/>
            <color rgb="FF000000"/>
            <rFont val="Calibri"/>
            <scheme val="minor"/>
          </rPr>
          <t>추가 입고 (air &gt; sea 변경)
22plt
12,672cu
&gt; 생산 결과 10,940cu 생산</t>
        </r>
      </text>
    </comment>
    <comment ref="V10" authorId="0" shapeId="0" xr:uid="{00000000-0006-0000-0300-000003000000}">
      <text>
        <r>
          <rPr>
            <sz val="10"/>
            <color rgb="FF000000"/>
            <rFont val="Calibri"/>
            <scheme val="minor"/>
          </rPr>
          <t>AIR 입고
27,648cu</t>
        </r>
      </text>
    </comment>
    <comment ref="Z10" authorId="0" shapeId="0" xr:uid="{00000000-0006-0000-0300-000001000000}">
      <text>
        <r>
          <rPr>
            <sz val="10"/>
            <color rgb="FF000000"/>
            <rFont val="Calibri"/>
            <scheme val="minor"/>
          </rPr>
          <t>8월 생산분 2배 입고 요청</t>
        </r>
      </text>
    </comment>
    <comment ref="W11" authorId="0" shapeId="0" xr:uid="{00000000-0006-0000-0300-000004000000}">
      <text>
        <r>
          <rPr>
            <sz val="10"/>
            <color rgb="FF000000"/>
            <rFont val="Calibri"/>
            <scheme val="minor"/>
          </rPr>
          <t>apr leftover (2,424)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7" authorId="0" shapeId="0" xr:uid="{00000000-0006-0000-0400-000002000000}">
      <text>
        <r>
          <rPr>
            <sz val="10"/>
            <color rgb="FF000000"/>
            <rFont val="Calibri"/>
            <scheme val="minor"/>
          </rPr>
          <t>AIR 입고
7,080cu</t>
        </r>
      </text>
    </comment>
    <comment ref="V7" authorId="0" shapeId="0" xr:uid="{00000000-0006-0000-0400-000005000000}">
      <text>
        <r>
          <rPr>
            <sz val="10"/>
            <color rgb="FF000000"/>
            <rFont val="Calibri"/>
            <scheme val="minor"/>
          </rPr>
          <t>추가 입고 (air &gt; sea 변경)
22plt
12,672cu
&gt; 생산 결과 10,940cu 생산</t>
        </r>
      </text>
    </comment>
    <comment ref="V10" authorId="0" shapeId="0" xr:uid="{00000000-0006-0000-0400-000003000000}">
      <text>
        <r>
          <rPr>
            <sz val="10"/>
            <color rgb="FF000000"/>
            <rFont val="Calibri"/>
            <scheme val="minor"/>
          </rPr>
          <t>AIR 입고
27,648cu</t>
        </r>
      </text>
    </comment>
    <comment ref="Z10" authorId="0" shapeId="0" xr:uid="{00000000-0006-0000-0400-000001000000}">
      <text>
        <r>
          <rPr>
            <sz val="10"/>
            <color rgb="FF000000"/>
            <rFont val="Calibri"/>
            <scheme val="minor"/>
          </rPr>
          <t>8월 생산분 2배 입고 요청</t>
        </r>
      </text>
    </comment>
    <comment ref="W11" authorId="0" shapeId="0" xr:uid="{00000000-0006-0000-0400-000004000000}">
      <text>
        <r>
          <rPr>
            <sz val="10"/>
            <color rgb="FF000000"/>
            <rFont val="Calibri"/>
            <scheme val="minor"/>
          </rPr>
          <t>apr leftover (2,424)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X8" authorId="0" shapeId="0" xr:uid="{00000000-0006-0000-0700-000001000000}">
      <text>
        <r>
          <rPr>
            <sz val="10"/>
            <color rgb="FF000000"/>
            <rFont val="Calibri"/>
            <scheme val="minor"/>
          </rPr>
          <t>overproduction
192tu (768cu)</t>
        </r>
      </text>
    </comment>
    <comment ref="Y9" authorId="0" shapeId="0" xr:uid="{00000000-0006-0000-0700-000002000000}">
      <text>
        <r>
          <rPr>
            <sz val="10"/>
            <color rgb="FF000000"/>
            <rFont val="Calibri"/>
            <scheme val="minor"/>
          </rPr>
          <t>공급 불가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X8" authorId="0" shapeId="0" xr:uid="{00000000-0006-0000-0800-000001000000}">
      <text>
        <r>
          <rPr>
            <sz val="10"/>
            <color rgb="FF000000"/>
            <rFont val="Calibri"/>
            <scheme val="minor"/>
          </rPr>
          <t>overproduction
192tu (768cu)</t>
        </r>
      </text>
    </comment>
    <comment ref="Y9" authorId="0" shapeId="0" xr:uid="{00000000-0006-0000-0800-000002000000}">
      <text>
        <r>
          <rPr>
            <sz val="10"/>
            <color rgb="FF000000"/>
            <rFont val="Calibri"/>
            <scheme val="minor"/>
          </rPr>
          <t>공급 불가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8" authorId="0" shapeId="0" xr:uid="{00000000-0006-0000-0900-000002000000}">
      <text>
        <r>
          <rPr>
            <sz val="10"/>
            <color rgb="FF000000"/>
            <rFont val="Calibri"/>
            <scheme val="minor"/>
          </rPr>
          <t>overproduction
192tu (768cu)</t>
        </r>
      </text>
    </comment>
    <comment ref="Y9" authorId="0" shapeId="0" xr:uid="{00000000-0006-0000-0900-000001000000}">
      <text>
        <r>
          <rPr>
            <sz val="10"/>
            <color rgb="FF000000"/>
            <rFont val="Calibri"/>
            <scheme val="minor"/>
          </rPr>
          <t>공급 불가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9" authorId="0" shapeId="0" xr:uid="{00000000-0006-0000-0A00-000001000000}">
      <text>
        <r>
          <rPr>
            <sz val="10"/>
            <color rgb="FF000000"/>
            <rFont val="Calibri"/>
            <scheme val="minor"/>
          </rPr>
          <t>overproduction
192tu (768cu)</t>
        </r>
      </text>
    </comment>
    <comment ref="X10" authorId="0" shapeId="0" xr:uid="{00000000-0006-0000-0A00-000002000000}">
      <text>
        <r>
          <rPr>
            <sz val="10"/>
            <color rgb="FF000000"/>
            <rFont val="Calibri"/>
            <scheme val="minor"/>
          </rPr>
          <t>공급 불가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2" authorId="0" shapeId="0" xr:uid="{00000000-0006-0000-0C00-000001000000}">
      <text>
        <r>
          <rPr>
            <sz val="10"/>
            <color rgb="FF000000"/>
            <rFont val="Calibri"/>
            <scheme val="minor"/>
          </rPr>
          <t>3840ea AIR 입고 예정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1" authorId="0" shapeId="0" xr:uid="{00000000-0006-0000-0F00-000006000000}">
      <text>
        <r>
          <rPr>
            <sz val="10"/>
            <color rgb="FF000000"/>
            <rFont val="Calibri"/>
            <scheme val="minor"/>
          </rPr>
          <t>27년 1월 도착 분을 미리 땡겨 12캔까지 합산한 수량 AIr 입고 (60)
10월 입고 연기로 90캔 에어 입고 요청 (실 평균 출고량 약 3달치/228)</t>
        </r>
      </text>
    </comment>
    <comment ref="X11" authorId="0" shapeId="0" xr:uid="{00000000-0006-0000-0F00-000007000000}">
      <text>
        <r>
          <rPr>
            <sz val="10"/>
            <color rgb="FF000000"/>
            <rFont val="Calibri"/>
            <scheme val="minor"/>
          </rPr>
          <t>8월 Air로 먼저 받음</t>
        </r>
      </text>
    </comment>
    <comment ref="T13" authorId="0" shapeId="0" xr:uid="{00000000-0006-0000-0F00-000004000000}">
      <text>
        <r>
          <rPr>
            <sz val="10"/>
            <color rgb="FF000000"/>
            <rFont val="Calibri"/>
            <scheme val="minor"/>
          </rPr>
          <t xml:space="preserve">실제 인보이스 발행 
12096-&gt;12192
</t>
        </r>
      </text>
    </comment>
    <comment ref="V14" authorId="0" shapeId="0" xr:uid="{00000000-0006-0000-0F00-000005000000}">
      <text>
        <r>
          <rPr>
            <sz val="10"/>
            <color rgb="FF000000"/>
            <rFont val="Calibri"/>
            <scheme val="minor"/>
          </rPr>
          <t>추가 입고</t>
        </r>
      </text>
    </comment>
    <comment ref="U16" authorId="0" shapeId="0" xr:uid="{00000000-0006-0000-0F00-000003000000}">
      <text>
        <r>
          <rPr>
            <sz val="10"/>
            <color rgb="FF000000"/>
            <rFont val="Calibri"/>
            <scheme val="minor"/>
          </rPr>
          <t xml:space="preserve">원바울 매니저 -&gt; 해당 건 delay 되어 12월 도착으로 예상
</t>
        </r>
      </text>
    </comment>
    <comment ref="O17" authorId="0" shapeId="0" xr:uid="{00000000-0006-0000-0F00-000008000000}">
      <text>
        <r>
          <rPr>
            <sz val="10"/>
            <color rgb="FF000000"/>
            <rFont val="Calibri"/>
            <scheme val="minor"/>
          </rPr>
          <t>일부 수량만 양품 (141 불량 39 양품)</t>
        </r>
      </text>
    </comment>
    <comment ref="R17" authorId="0" shapeId="0" xr:uid="{00000000-0006-0000-0F00-000001000000}">
      <text>
        <r>
          <rPr>
            <sz val="10"/>
            <color rgb="FF000000"/>
            <rFont val="Calibri"/>
            <scheme val="minor"/>
          </rPr>
          <t>유통기한 임박재고</t>
        </r>
      </text>
    </comment>
    <comment ref="T17" authorId="0" shapeId="0" xr:uid="{00000000-0006-0000-0F00-000002000000}">
      <text>
        <r>
          <rPr>
            <sz val="10"/>
            <color rgb="FF000000"/>
            <rFont val="Calibri"/>
            <scheme val="minor"/>
          </rPr>
          <t>10,11,12월 오더 에어 입고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1" authorId="0" shapeId="0" xr:uid="{00000000-0006-0000-1000-000005000000}">
      <text>
        <r>
          <rPr>
            <sz val="10"/>
            <color rgb="FF000000"/>
            <rFont val="Calibri"/>
            <scheme val="minor"/>
          </rPr>
          <t xml:space="preserve">27년 1월 도착 분을 미리 땡겨 12캔까지 합산한 수량 AIr 입고
</t>
        </r>
      </text>
    </comment>
    <comment ref="S11" authorId="0" shapeId="0" xr:uid="{00000000-0006-0000-1000-000006000000}">
      <text>
        <r>
          <rPr>
            <sz val="10"/>
            <color rgb="FF000000"/>
            <rFont val="Calibri"/>
            <scheme val="minor"/>
          </rPr>
          <t xml:space="preserve">10월 입고 연기로 90캔 에어 입고 요청 (실 평균 출고량 약 3달치)
</t>
        </r>
      </text>
    </comment>
    <comment ref="W11" authorId="0" shapeId="0" xr:uid="{00000000-0006-0000-1000-000007000000}">
      <text>
        <r>
          <rPr>
            <sz val="10"/>
            <color rgb="FF000000"/>
            <rFont val="Calibri"/>
            <scheme val="minor"/>
          </rPr>
          <t>8월 Air로 먼저 받음</t>
        </r>
      </text>
    </comment>
    <comment ref="S13" authorId="0" shapeId="0" xr:uid="{00000000-0006-0000-1000-000004000000}">
      <text>
        <r>
          <rPr>
            <sz val="10"/>
            <color rgb="FF000000"/>
            <rFont val="Calibri"/>
            <scheme val="minor"/>
          </rPr>
          <t xml:space="preserve">실제 인보이스 발행 
12096-&gt;12192
</t>
        </r>
      </text>
    </comment>
    <comment ref="T16" authorId="0" shapeId="0" xr:uid="{00000000-0006-0000-1000-000003000000}">
      <text>
        <r>
          <rPr>
            <sz val="10"/>
            <color rgb="FF000000"/>
            <rFont val="Calibri"/>
            <scheme val="minor"/>
          </rPr>
          <t xml:space="preserve">원바울 매니저 -&gt; 해당 건 delay 되어 12월 도착으로 예상
</t>
        </r>
      </text>
    </comment>
    <comment ref="N17" authorId="0" shapeId="0" xr:uid="{00000000-0006-0000-1000-000008000000}">
      <text>
        <r>
          <rPr>
            <sz val="10"/>
            <color rgb="FF000000"/>
            <rFont val="Calibri"/>
            <scheme val="minor"/>
          </rPr>
          <t>일부 수량만 양품 (141 불량 39 양품)</t>
        </r>
      </text>
    </comment>
    <comment ref="Q17" authorId="0" shapeId="0" xr:uid="{00000000-0006-0000-1000-000001000000}">
      <text>
        <r>
          <rPr>
            <sz val="10"/>
            <color rgb="FF000000"/>
            <rFont val="Calibri"/>
            <scheme val="minor"/>
          </rPr>
          <t>유통기한 임박재고</t>
        </r>
      </text>
    </comment>
    <comment ref="R17" authorId="0" shapeId="0" xr:uid="{00000000-0006-0000-1000-000002000000}">
      <text>
        <r>
          <rPr>
            <sz val="10"/>
            <color rgb="FF000000"/>
            <rFont val="Calibri"/>
            <scheme val="minor"/>
          </rPr>
          <t>10,11,12월 오더 에어 입고</t>
        </r>
      </text>
    </comment>
  </commentList>
</comments>
</file>

<file path=xl/sharedStrings.xml><?xml version="1.0" encoding="utf-8"?>
<sst xmlns="http://schemas.openxmlformats.org/spreadsheetml/2006/main" count="4566" uniqueCount="678">
  <si>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</si>
  <si>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</si>
  <si>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</si>
  <si>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</si>
  <si>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뉴트리시아 코리아 소통</t>
  </si>
  <si>
    <t>계수</t>
  </si>
  <si>
    <t>SKU</t>
  </si>
  <si>
    <t>파렛트 수량 조정</t>
  </si>
  <si>
    <t>파렛트 총합</t>
  </si>
  <si>
    <t>컨테이너 수</t>
  </si>
  <si>
    <t>월평균 출고량</t>
  </si>
  <si>
    <t>MOQ (TU)</t>
  </si>
  <si>
    <t>TU</t>
  </si>
  <si>
    <t>Supply (arrival)</t>
  </si>
  <si>
    <t>Sep.</t>
  </si>
  <si>
    <t>Oct.</t>
  </si>
  <si>
    <t>Nov.</t>
  </si>
  <si>
    <t>Dec.</t>
  </si>
  <si>
    <t>Jan.</t>
  </si>
  <si>
    <t>Feb.</t>
  </si>
  <si>
    <t>Mar.</t>
  </si>
  <si>
    <t>Apr.</t>
  </si>
  <si>
    <t>May.</t>
  </si>
  <si>
    <t>Jun.</t>
  </si>
  <si>
    <t>July.</t>
  </si>
  <si>
    <t>Aug.</t>
  </si>
  <si>
    <t>Sept.</t>
  </si>
  <si>
    <t>PN</t>
  </si>
  <si>
    <t>Supply 
 (arrival)</t>
  </si>
  <si>
    <t xml:space="preserve"> PN 1</t>
  </si>
  <si>
    <t>PN 2</t>
  </si>
  <si>
    <t>PN 3</t>
  </si>
  <si>
    <t>PF</t>
  </si>
  <si>
    <t>PF 1</t>
  </si>
  <si>
    <t>PF 2</t>
  </si>
  <si>
    <t>PF 3</t>
  </si>
  <si>
    <t>VANILLA</t>
  </si>
  <si>
    <t>FORTIFIT</t>
  </si>
  <si>
    <t>Total</t>
  </si>
  <si>
    <t>발주 금액</t>
  </si>
  <si>
    <t>발주 금액(KRW)</t>
  </si>
  <si>
    <t>Actual</t>
  </si>
  <si>
    <t>fcst</t>
  </si>
  <si>
    <t>Sales</t>
  </si>
  <si>
    <t>Sales
 CU</t>
  </si>
  <si>
    <t>용인</t>
  </si>
  <si>
    <t>CJ</t>
  </si>
  <si>
    <t>디앤비</t>
  </si>
  <si>
    <t>아르고</t>
  </si>
  <si>
    <t>7/22 기말재고</t>
  </si>
  <si>
    <t>예상 기말재고</t>
  </si>
  <si>
    <t>Stock(CU)</t>
  </si>
  <si>
    <t>품고</t>
  </si>
  <si>
    <t>8/20 기말재고</t>
  </si>
  <si>
    <t>적정재고수준</t>
  </si>
  <si>
    <t>재고월수X 실제 재고량으로 확인 필요</t>
  </si>
  <si>
    <t>Stock Level(Month)</t>
  </si>
  <si>
    <t>Stock month
 by SKU</t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</si>
  <si>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</si>
  <si>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moq</t>
  </si>
  <si>
    <t>AMN 4파렛트 배정 (ELN 18파렛트) + 24파렛트 기준</t>
  </si>
  <si>
    <t>인보이스 발행 날짜</t>
  </si>
  <si>
    <t>인보이스 넘버</t>
  </si>
  <si>
    <t>품목</t>
  </si>
  <si>
    <t>수량(BOX)</t>
  </si>
  <si>
    <t>수량(CU)</t>
  </si>
  <si>
    <t>입고일</t>
  </si>
  <si>
    <t>입고 예정일</t>
  </si>
  <si>
    <t>비고</t>
  </si>
  <si>
    <t>품목명</t>
  </si>
  <si>
    <t>W/01/2025</t>
  </si>
  <si>
    <t>총합</t>
  </si>
  <si>
    <t>APTAMIL 1 KOR 4X800G</t>
  </si>
  <si>
    <t>이마트</t>
  </si>
  <si>
    <t>롯데마트</t>
  </si>
  <si>
    <t>누1</t>
  </si>
  <si>
    <t>누2</t>
  </si>
  <si>
    <t>C/01/2025</t>
  </si>
  <si>
    <t>누3</t>
  </si>
  <si>
    <t>APTAMIL PROF 3, KOR 4X800G</t>
  </si>
  <si>
    <t>푸1</t>
  </si>
  <si>
    <t>푸2</t>
  </si>
  <si>
    <t>APTAMIL PROF 1, KOR 4X800G</t>
  </si>
  <si>
    <t>푸3</t>
  </si>
  <si>
    <t>APTAMIL PROF 2, KOR 4X800G</t>
  </si>
  <si>
    <t>W/02/2025</t>
  </si>
  <si>
    <t>APTAMIL 2 KOR 4X800G</t>
  </si>
  <si>
    <t>W/03/2025</t>
  </si>
  <si>
    <t>APTAMIL 3 KOR 4X800G</t>
  </si>
  <si>
    <t>C/03/2025</t>
  </si>
  <si>
    <t>W/04/2025</t>
  </si>
  <si>
    <t>※ Aptamil D2C Jikgu Stock Overview</t>
  </si>
  <si>
    <t>포티멜 유통기한</t>
  </si>
  <si>
    <t>TAB 추가 생산</t>
  </si>
  <si>
    <t>C/04/2025</t>
  </si>
  <si>
    <t>TABS 생산 중단</t>
  </si>
  <si>
    <t>TABS 발주 가능</t>
  </si>
  <si>
    <t>comfort 1plt 만 에어발주 가능</t>
  </si>
  <si>
    <t>발주</t>
  </si>
  <si>
    <t>3월 오더 잔여분</t>
  </si>
  <si>
    <t>W/05/2025</t>
  </si>
  <si>
    <t>생산</t>
  </si>
  <si>
    <t>TABS 추가 수량 제외</t>
  </si>
  <si>
    <t>6,7월 AR, fortimel 제외 발주 취소</t>
  </si>
  <si>
    <t>C/05/2025</t>
  </si>
  <si>
    <t>평균 판매량</t>
  </si>
  <si>
    <t>W/06/2025</t>
  </si>
  <si>
    <t>Jul.</t>
  </si>
  <si>
    <t>C/06/2025</t>
  </si>
  <si>
    <t>W/07/2025</t>
  </si>
  <si>
    <t>Pre</t>
  </si>
  <si>
    <t>C/07/2025</t>
  </si>
  <si>
    <t>W/08/2025</t>
  </si>
  <si>
    <t>C/08/2025</t>
  </si>
  <si>
    <t>W/09/2025</t>
  </si>
  <si>
    <t>C/09/2025</t>
  </si>
  <si>
    <t>F/10/2025</t>
  </si>
  <si>
    <t>FORTIMEL PROTEIN ADVANCE VAN 12X280G KOR</t>
  </si>
  <si>
    <t>W/10/2025</t>
  </si>
  <si>
    <t>TAB IF</t>
  </si>
  <si>
    <t>C/10/2025</t>
  </si>
  <si>
    <t>남양주</t>
  </si>
  <si>
    <t>C/11/2025</t>
  </si>
  <si>
    <t>W/11/2025</t>
  </si>
  <si>
    <t>TAB FO</t>
  </si>
  <si>
    <t>F/01/2026</t>
  </si>
  <si>
    <t>W/01/2026</t>
  </si>
  <si>
    <t>-</t>
  </si>
  <si>
    <t>C/01/2026</t>
  </si>
  <si>
    <t>W/02/2026</t>
  </si>
  <si>
    <t>F/03/2026</t>
  </si>
  <si>
    <t>Kinder 1+</t>
  </si>
  <si>
    <t>SF</t>
  </si>
  <si>
    <t>AR</t>
  </si>
  <si>
    <t>Comfort</t>
  </si>
  <si>
    <t>Fortimel</t>
  </si>
  <si>
    <t>Protein Mocha</t>
  </si>
  <si>
    <t>Protein Neu</t>
  </si>
  <si>
    <t>REDFRUITS</t>
  </si>
  <si>
    <t>GINGER</t>
  </si>
  <si>
    <t>Stock</t>
  </si>
  <si>
    <t>1X1200G</t>
  </si>
  <si>
    <t>2X1200G</t>
  </si>
  <si>
    <t>Kinder 2+</t>
  </si>
  <si>
    <t>2월 마감재고</t>
  </si>
  <si>
    <t>3월 입고 재고</t>
  </si>
  <si>
    <t>롯마 출고</t>
  </si>
  <si>
    <t>이마출고</t>
  </si>
  <si>
    <t>풀필 출고</t>
  </si>
  <si>
    <t>일반 출고</t>
  </si>
  <si>
    <t>디앤비 회송 입고</t>
  </si>
  <si>
    <t>디앤비 파손</t>
  </si>
  <si>
    <t>유통기한 임박 폐기</t>
  </si>
  <si>
    <t>풀필 회송</t>
  </si>
  <si>
    <t>입고파손</t>
  </si>
  <si>
    <t>작업중 빈박스</t>
  </si>
  <si>
    <t>2월 재고 정정</t>
  </si>
  <si>
    <t>이마트 점포 클레임</t>
  </si>
  <si>
    <t>영훈 파트장님 출고</t>
  </si>
  <si>
    <t>실장님 사용</t>
  </si>
  <si>
    <t>기부</t>
  </si>
  <si>
    <t>반품입고</t>
  </si>
  <si>
    <t>3월 마감 재고</t>
  </si>
  <si>
    <t>3월 마감 실재고</t>
  </si>
  <si>
    <t>차이</t>
  </si>
  <si>
    <t>풀필먼트</t>
  </si>
  <si>
    <t>출고</t>
  </si>
  <si>
    <t>반출</t>
  </si>
  <si>
    <t>비가용 재고</t>
  </si>
  <si>
    <t>3월 출고 재고</t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</si>
  <si>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</si>
  <si>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Production</t>
  </si>
  <si>
    <t>Dec</t>
  </si>
  <si>
    <t>Jan</t>
  </si>
  <si>
    <t>Feb</t>
  </si>
  <si>
    <t>Mar</t>
  </si>
  <si>
    <t>April</t>
  </si>
  <si>
    <t>May</t>
  </si>
  <si>
    <t>Jun</t>
  </si>
  <si>
    <t>July</t>
  </si>
  <si>
    <t>Aug</t>
  </si>
  <si>
    <t>6월 발주</t>
  </si>
  <si>
    <t>7월 발주</t>
  </si>
  <si>
    <t>8월 발주</t>
  </si>
  <si>
    <t>9월 발주</t>
  </si>
  <si>
    <t>재고</t>
  </si>
  <si>
    <t>F/01/2025</t>
  </si>
  <si>
    <t>APTAMIL PF DUO YCF1+, 4X800G KOR</t>
  </si>
  <si>
    <t>APTAMIL PF PRE, NWW DE 4x800G</t>
  </si>
  <si>
    <t>O/01/2025</t>
  </si>
  <si>
    <t>APTAMIL PRONUTRA 1 3X1200G</t>
  </si>
  <si>
    <t>APTAMIL PRONUTRA 2 3X1200G</t>
  </si>
  <si>
    <t>F/02/2025</t>
  </si>
  <si>
    <t>APTAMIL PF 2, NWW DE 4x800G</t>
  </si>
  <si>
    <t>APTAMIL PF DUO YCF2+, 4X800G KOR</t>
  </si>
  <si>
    <t>APTAMIL 3 6X800G CR/SL</t>
  </si>
  <si>
    <t>APT TAB IF 4X(105 X4.6G)IT</t>
  </si>
  <si>
    <t>APT TAB FO NWW 4X(105X4.8G) IT</t>
  </si>
  <si>
    <t>C/02/2025</t>
  </si>
  <si>
    <t>APTAMIL AR 1 ENG 24X400G</t>
  </si>
  <si>
    <t>F/04/2025</t>
  </si>
  <si>
    <t>F/05/2025</t>
  </si>
  <si>
    <t>APTAMIL PF 1, NWW DE 4x800G</t>
  </si>
  <si>
    <t>APTAMIL 1 6X800G CR/SL</t>
  </si>
  <si>
    <t>F/06/2025</t>
  </si>
  <si>
    <t>F/07/2025</t>
  </si>
  <si>
    <t>F/08/2025</t>
  </si>
  <si>
    <t>APTAMIL PRE 6X800G CR/SL</t>
  </si>
  <si>
    <t>APTAMIL 2 6X800G CR/SL</t>
  </si>
  <si>
    <t>F/09/2025</t>
  </si>
  <si>
    <t>APTAMIL COMF 1 ESC 24X400GEXPORT</t>
  </si>
  <si>
    <t>Z/10/2025</t>
  </si>
  <si>
    <t>Fortimel Compact Protein Mocha 125 ml</t>
  </si>
  <si>
    <t>Fortimel Compact Protein Neu 125 ml</t>
  </si>
  <si>
    <t>FMEL COMP PROT CL REDFRUITS</t>
  </si>
  <si>
    <t>FMEL COMP PROT HOTTR GINGER</t>
  </si>
  <si>
    <t>F/11/2025</t>
  </si>
  <si>
    <t>Z/12/2025</t>
  </si>
  <si>
    <t>Z/01/2026</t>
  </si>
  <si>
    <t>판매량</t>
  </si>
  <si>
    <t>입고</t>
  </si>
  <si>
    <t>F/02/2026</t>
  </si>
  <si>
    <t>C/02/2026</t>
  </si>
  <si>
    <t>Z/03/2026</t>
  </si>
  <si>
    <t>재고 현황</t>
  </si>
  <si>
    <t>品名</t>
  </si>
  <si>
    <t>库存数量</t>
  </si>
  <si>
    <t>有效期</t>
  </si>
  <si>
    <t>不良库存</t>
  </si>
  <si>
    <t>可用库存</t>
  </si>
  <si>
    <t>재고수량</t>
  </si>
  <si>
    <t>유효기간</t>
  </si>
  <si>
    <t>불량재고</t>
  </si>
  <si>
    <t>가용재고</t>
  </si>
  <si>
    <t>[직구] 압타밀 AR</t>
  </si>
  <si>
    <t>입수량</t>
  </si>
  <si>
    <t>동수재고</t>
  </si>
  <si>
    <t>비가용재고</t>
  </si>
  <si>
    <t>[직구] 압타밀 프로누트라 Pre 1캔</t>
  </si>
  <si>
    <t>PN Pre</t>
  </si>
  <si>
    <t>[직구] 압타밀 프로누트라 1단계 1캔</t>
  </si>
  <si>
    <t>PN 1</t>
  </si>
  <si>
    <t>[직구] 압타밀 탭스 1단계 1팩</t>
  </si>
  <si>
    <t>[직구] 압타밀 컴포트</t>
  </si>
  <si>
    <t>[직구] 압타밀 프로누트라 2단계</t>
  </si>
  <si>
    <t>※ Medical Stock Overview</t>
  </si>
  <si>
    <t>[직구] 압타밀 탭스 2단계</t>
  </si>
  <si>
    <t>[직구] 압타밀 프로누트라 3단계</t>
  </si>
  <si>
    <t>인보협 출고 - 재고 관련한 건 미리 공유 (인보협측에)</t>
  </si>
  <si>
    <t>한독 추가입고</t>
  </si>
  <si>
    <t>[직구] 프로푸트라 Pre</t>
  </si>
  <si>
    <t>PF Pre</t>
  </si>
  <si>
    <t>TU 수량 조정</t>
  </si>
  <si>
    <t>[직구] 프로푸트라 1단계</t>
  </si>
  <si>
    <t>[직구] 프로푸트라 2단계</t>
  </si>
  <si>
    <t>[직구] 킨더밀쉬 1</t>
  </si>
  <si>
    <t>PF Kinder</t>
  </si>
  <si>
    <t>[직구] 포티멜 컴팩트 프로틴 모카</t>
  </si>
  <si>
    <t>Fortimel Compact Protein Mocha</t>
  </si>
  <si>
    <t>[직구] 포티멜 컴팩트 프로틴 쿨 베리</t>
  </si>
  <si>
    <t>Fortimel Compact Protein Cool Red Fruits</t>
  </si>
  <si>
    <t>Duocal</t>
  </si>
  <si>
    <t>[직구] 포티멜 컴팩트 프로틴 핫 진저</t>
  </si>
  <si>
    <t>Fortimel Compact Protein Hot Tropical Ginger</t>
  </si>
  <si>
    <t>[직구] 포티멜 컴팩트 프로틴 뉴트럴</t>
  </si>
  <si>
    <t>Fortimel Compact Protein Neutral</t>
  </si>
  <si>
    <t>합계</t>
  </si>
  <si>
    <t>가용재고 (TU)</t>
  </si>
  <si>
    <t>비가용재고 (TU)</t>
  </si>
  <si>
    <t>Elemental Orange</t>
  </si>
  <si>
    <t>PK AID</t>
  </si>
  <si>
    <t>TYR Anamix</t>
  </si>
  <si>
    <t>NKH Anamix</t>
  </si>
  <si>
    <t>Lorenzo Oil</t>
  </si>
  <si>
    <t>Infatrini</t>
  </si>
  <si>
    <t>Neocate LCP</t>
  </si>
  <si>
    <t>파렛트 단위 108</t>
  </si>
  <si>
    <t>GA1 Anamix Infant</t>
  </si>
  <si>
    <t>[직구] 프로누트라 밸류팩 1단계</t>
  </si>
  <si>
    <t>GA1 Anamix Junior</t>
  </si>
  <si>
    <t>[직구] 프로누트라 밸류팩 2단계</t>
  </si>
  <si>
    <t>MSUD Anamix Junior</t>
  </si>
  <si>
    <t>MSUD Maxamum</t>
  </si>
  <si>
    <t>Locasol</t>
  </si>
  <si>
    <t>Basic F</t>
  </si>
  <si>
    <t>Aptamil Pepti Syneo</t>
  </si>
  <si>
    <t>입고완료</t>
  </si>
  <si>
    <t>발주량</t>
  </si>
  <si>
    <t>Elemental 028 Banana</t>
  </si>
  <si>
    <t>June</t>
  </si>
  <si>
    <t>Sep</t>
  </si>
  <si>
    <t>Oct</t>
  </si>
  <si>
    <t>Nov</t>
  </si>
  <si>
    <t>인보이스+오더오버뷰(생산계획)</t>
  </si>
  <si>
    <t>act</t>
  </si>
  <si>
    <t>Kinder</t>
  </si>
  <si>
    <t>Sales
CU</t>
  </si>
  <si>
    <t>12-13개월 fcst</t>
  </si>
  <si>
    <t>actual</t>
  </si>
  <si>
    <t>Stcok(CU)</t>
  </si>
  <si>
    <t>전일까지 판매량</t>
  </si>
  <si>
    <t>3/27 재고</t>
  </si>
  <si>
    <t>Stcok Level (Month)</t>
  </si>
  <si>
    <t>Oct~Dec.</t>
  </si>
  <si>
    <t>June.</t>
  </si>
  <si>
    <t>Stock month 
by SKU</t>
  </si>
  <si>
    <t>Product SKU</t>
  </si>
  <si>
    <t>Channel SKU</t>
  </si>
  <si>
    <t>Other SKU</t>
  </si>
  <si>
    <t>Lot 1</t>
  </si>
  <si>
    <t>Expiration Date</t>
  </si>
  <si>
    <t>Stock0In Date</t>
  </si>
  <si>
    <t>Item Description</t>
  </si>
  <si>
    <t>Inventory Type</t>
  </si>
  <si>
    <t>Qty</t>
  </si>
  <si>
    <t>Location</t>
  </si>
  <si>
    <t>Picking Location</t>
  </si>
  <si>
    <t>Action</t>
  </si>
  <si>
    <t>Aptamil AR</t>
  </si>
  <si>
    <t>Aptamil AR 1 ENG</t>
  </si>
  <si>
    <t>Active</t>
  </si>
  <si>
    <t>TM9F</t>
  </si>
  <si>
    <t>Aptamil COMF</t>
  </si>
  <si>
    <t>Aptamil COMF 1 ESC</t>
  </si>
  <si>
    <t>Aptamil PF DUO YCF1+</t>
  </si>
  <si>
    <t>TM12F</t>
  </si>
  <si>
    <t>Aptamil Pronutra Pre</t>
  </si>
  <si>
    <t>Aptamil Profutura Pre</t>
  </si>
  <si>
    <t>TM12F0E</t>
  </si>
  <si>
    <t>Aptamil Pronutra Stage1</t>
  </si>
  <si>
    <t>Aptamil Pronutra Stage2</t>
  </si>
  <si>
    <t>Aptamil Pronutra Stage3</t>
  </si>
  <si>
    <t>Aptamil Profutura Stage 1</t>
  </si>
  <si>
    <t>Aptamil Profutura Stage1</t>
  </si>
  <si>
    <t>Hold</t>
  </si>
  <si>
    <t>KR</t>
  </si>
  <si>
    <t>Damaged</t>
  </si>
  <si>
    <t>LFS</t>
  </si>
  <si>
    <t>Aptamil Profutura Stage2</t>
  </si>
  <si>
    <t>Aptamil Profutura Stage 2</t>
  </si>
  <si>
    <t>TM12F0F</t>
  </si>
  <si>
    <t>Aptamil Pronutra Stage 1</t>
  </si>
  <si>
    <t>Aptamil Pronutra Stage 2</t>
  </si>
  <si>
    <t>Aptamil Pronutra Stage 3</t>
  </si>
  <si>
    <t>Stock Level(M)</t>
  </si>
  <si>
    <t>BASIC0F 6X300G INT</t>
  </si>
  <si>
    <t>LOCASOL 6X400G INT</t>
  </si>
  <si>
    <t>GA1 A/MIX JR UNF 6 X 400G MLL</t>
  </si>
  <si>
    <t>MSUD ANAMIX JR UNF 6 X 400G MLL</t>
  </si>
  <si>
    <t>GA1 ANAMIX INFANT 3X400G MLL2 (L)</t>
  </si>
  <si>
    <t>MSUD MAXAMUM UNFLAV 3 X 500</t>
  </si>
  <si>
    <t>SS DUOCAL 6X400G MULTI</t>
  </si>
  <si>
    <t>NKH ANAMIX INFANT 3X400G MLL1</t>
  </si>
  <si>
    <t>ELEMENTAL 028 EXTRA BANANA 10X100G UK</t>
  </si>
  <si>
    <t>APTAMIL PEPTI SYNEO 1, DE 12X400G</t>
  </si>
  <si>
    <t>INFATRINI 12X400G KOR</t>
  </si>
  <si>
    <t>NUTRICIA LORENZO'S OIL 12X500ML GB/DE</t>
  </si>
  <si>
    <t>NEOCATE LCP UPGRADE3 6X400G UK IE</t>
  </si>
  <si>
    <t>PK AID 4 3X500G UK</t>
  </si>
  <si>
    <t>TYR ANAMIX INF+MET 3X400G MLL1 (L)</t>
  </si>
  <si>
    <t>SKU Code</t>
  </si>
  <si>
    <t>제품명</t>
  </si>
  <si>
    <t>뉴트리시아 듀오칼/400G</t>
  </si>
  <si>
    <t>뉴트리시아 엘리멘탈 028 엑스트라/100GX10</t>
  </si>
  <si>
    <t>뉴트리시아 피케이 에이드4/500G</t>
  </si>
  <si>
    <t>뉴트리시아 티와이알 아나믹스/400G</t>
  </si>
  <si>
    <t>뉴트리시아 엔케이에이치 아나믹스/400G</t>
  </si>
  <si>
    <t>뉴트리시아 로렌조 오일/500ML</t>
  </si>
  <si>
    <t>뉴트리시아 인파트리니/400G</t>
  </si>
  <si>
    <t>뉴트리시아 네오케이트 LCP/400G</t>
  </si>
  <si>
    <t>뉴트리시아 지에이1 아나믹스 인펀트/400g</t>
  </si>
  <si>
    <t>뉴트리시아 지에이1 아나믹스 주니어/400g</t>
  </si>
  <si>
    <t>뉴트리시아 엠에스유디 아나믹스 주니어/400g</t>
  </si>
  <si>
    <t>뉴트리시아 엠에스유디 맥사멈/500g</t>
  </si>
  <si>
    <t>뉴트리시아 로카솔/400g</t>
  </si>
  <si>
    <t>뉴트리시아 베이직 에프/300g</t>
  </si>
  <si>
    <t>뉴트리시아 압타밀 펩티 시네오/400g</t>
  </si>
  <si>
    <t>뉴트리시아 엘리멘탈 028 엑스트라 바나나/100GX10</t>
  </si>
  <si>
    <t>구매 코드</t>
  </si>
  <si>
    <t>한독 상품코드</t>
  </si>
  <si>
    <t>Description</t>
  </si>
  <si>
    <t>제품명(요약 영문명)</t>
  </si>
  <si>
    <t>입수량 (CU/TU)</t>
  </si>
  <si>
    <t>입수량 (TU/PLT)</t>
  </si>
  <si>
    <t>ELEMENTAL 028 EXTRA ORANGE 10X100G</t>
  </si>
  <si>
    <t>뉴트리시아 엘리멘탈 028 엑스트라 오렌지 /100GX10</t>
  </si>
  <si>
    <t>TYR ANAMIX INF+MET 3X400G MLL1</t>
  </si>
  <si>
    <t>NUTRICIA LORENZO'S OIL 12X500G</t>
  </si>
  <si>
    <t>확인 필요</t>
  </si>
  <si>
    <t>뉴트리시아 압타밀 펩티 시네오/400g(판매용)</t>
  </si>
  <si>
    <t>ELEMENTAL 028 EXTRA/100GX10 Unflavored</t>
  </si>
  <si>
    <t>Elemental 028 Unflavored</t>
  </si>
  <si>
    <t>늍트리시아 엘리멘탈 028 엑스트라 무맛/100GX10</t>
  </si>
  <si>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Aptamil Domestic Stock Overview</t>
    </r>
  </si>
  <si>
    <t>CORPORATE CODE</t>
  </si>
  <si>
    <t>구분</t>
  </si>
  <si>
    <t>코드</t>
  </si>
  <si>
    <t>박스 금액</t>
  </si>
  <si>
    <t>캔당금액</t>
  </si>
  <si>
    <t>환율</t>
  </si>
  <si>
    <t>내수</t>
  </si>
  <si>
    <t>APTAMIL PROFUTURA 1 4X800G KOR</t>
  </si>
  <si>
    <t>APTAMIL PROFUTURA 2 4X800G KOR</t>
  </si>
  <si>
    <t>APTAMIL PROFUTURA 3 4X800G KOR</t>
  </si>
  <si>
    <t>3월 생산 건부터 금액 인상</t>
  </si>
  <si>
    <t>FORTIFIT VANILLA 12X280G A</t>
  </si>
  <si>
    <t>직구</t>
  </si>
  <si>
    <t>APT PROFUTURA PRE, KOR 4X800G</t>
  </si>
  <si>
    <t>APT PROFUTURA 1, KOR 4X800G</t>
  </si>
  <si>
    <t>APT PROFUTURA 2, KOR 4X800G</t>
  </si>
  <si>
    <t>메디컬</t>
  </si>
  <si>
    <t>Pepti Syneo</t>
  </si>
  <si>
    <t>Lorenzo oil</t>
  </si>
  <si>
    <t>Elemental</t>
  </si>
  <si>
    <t>NKH Anamix Infant</t>
  </si>
  <si>
    <t>Basic-F</t>
  </si>
  <si>
    <t>TYR Anamix Infant</t>
  </si>
  <si>
    <t>PK AID4</t>
  </si>
  <si>
    <t>CODE</t>
  </si>
  <si>
    <t>PRODUCT</t>
  </si>
  <si>
    <t>CU / TU</t>
  </si>
  <si>
    <t>11월 마감 실재고</t>
  </si>
  <si>
    <t xml:space="preserve">12월 입고 </t>
  </si>
  <si>
    <t>12월 세일즈</t>
  </si>
  <si>
    <t>전산 재고</t>
  </si>
  <si>
    <t>12월 마감 실재고</t>
  </si>
  <si>
    <t>편차</t>
  </si>
  <si>
    <t xml:space="preserve">1월 입고 </t>
  </si>
  <si>
    <t>1월 세일즈</t>
  </si>
  <si>
    <t>1월 마감 실재고</t>
  </si>
  <si>
    <t xml:space="preserve">2월 입고 </t>
  </si>
  <si>
    <t>2월 세일즈</t>
  </si>
  <si>
    <t>2월 마감 실재고</t>
  </si>
  <si>
    <t>APTAMIL PEPTI SYNEO 1, DE 12X400G (400 GR)</t>
  </si>
  <si>
    <t>APTAMIL PROF 2, KOR 4X800G (800 GR)</t>
  </si>
  <si>
    <t>APTAMIL PROF 1, KOR 4X800G (800 GR)</t>
  </si>
  <si>
    <t>APTAMIL PROF 3, KOR 4X800G (800 GR)</t>
  </si>
  <si>
    <t>APTAMIL 1 6X800GR KOR (800 GR)</t>
  </si>
  <si>
    <t>APTAMIL 2 6X800GR KOR (800 GR)</t>
  </si>
  <si>
    <t>APTAMIL 3 6X800GR KOR (800 GR)</t>
  </si>
  <si>
    <t>FORTIMEL PROTEIN ADVANCE VAN 12X280G KOR (80 G)</t>
  </si>
  <si>
    <t>NUTRICIA LORENZO'S OIL 12X500ML GB/DE (449 ML)</t>
  </si>
  <si>
    <t>SS DUOCAL 6X400G MULTI (400 GR)</t>
  </si>
  <si>
    <t>NUTRICIA LORENZO'S OIL 12X500ML GB/DE (449 GR)</t>
  </si>
  <si>
    <t>INFATRINI 12X400G KOR (400 GR)</t>
  </si>
  <si>
    <t>BASIC-F 6X300G INT (300 GR)</t>
  </si>
  <si>
    <t>LOCASOL 6X400G INT (400 GR)</t>
  </si>
  <si>
    <t>MSUD MAXAMUM UNFLAV 3 X 500 (500 GR)</t>
  </si>
  <si>
    <t>PK AID 4 3X500G UK (500 GR)</t>
  </si>
  <si>
    <t>ELEMENTAL 028 EXTRA 10X100G. (100 GR)</t>
  </si>
  <si>
    <t>내수 기준일</t>
  </si>
  <si>
    <t>ELEMENTAL 028 EXTRA ORANGE 10X100G (100 GR)</t>
  </si>
  <si>
    <t>직구 기준일</t>
  </si>
  <si>
    <t>MSUD ANAMIX JR UNF 6 X 400G MLL (400 GR)</t>
  </si>
  <si>
    <t>*내수</t>
  </si>
  <si>
    <t>TYR ANAMIX INF+MET 3X400G MLL1 (400 GR)</t>
  </si>
  <si>
    <t>10/1~10/14</t>
  </si>
  <si>
    <t>10/15~10/28</t>
  </si>
  <si>
    <t>GA1 A/MIX JR UNF 6 X 400G MLL (400 GR)</t>
  </si>
  <si>
    <t>유통기한</t>
  </si>
  <si>
    <t>제조 일자</t>
  </si>
  <si>
    <t>재고량</t>
  </si>
  <si>
    <t>GA1 ANAMIX INFANT 3X400G MLL2 (L) (400 GR)</t>
  </si>
  <si>
    <t>잔여일</t>
  </si>
  <si>
    <t>판매가능까지 남은기간</t>
  </si>
  <si>
    <t>주별 소진 필요량</t>
  </si>
  <si>
    <t>이전 판매량</t>
  </si>
  <si>
    <t>전주 판매량</t>
  </si>
  <si>
    <t>추가 증가 필요량</t>
  </si>
  <si>
    <t xml:space="preserve"> 폐기 예상 수량</t>
  </si>
  <si>
    <t>NKH ANAMIX INFANT 3X400G MLL1 (400 GR)</t>
  </si>
  <si>
    <t>NEOCATE LCP UPGRADE3 6X400G UK IE (400 GR)</t>
  </si>
  <si>
    <t>ELEMENTAL 028 EXTRA BANANA 10X100G UK (1,000 GR)</t>
  </si>
  <si>
    <t>TOTAL QUANTITIES</t>
  </si>
  <si>
    <t>Z:\Nutricia\99. Sales\송예진\3. 주간업무\뉴트리시아</t>
  </si>
  <si>
    <t>쿠팡, 이마트, 롯데마트 제외 판매량</t>
  </si>
  <si>
    <t>Pronutra 1</t>
  </si>
  <si>
    <t>쿠팡, 롯데마트 제외 판매량</t>
  </si>
  <si>
    <t>Pronutra 2</t>
  </si>
  <si>
    <t>Pronutra 3</t>
  </si>
  <si>
    <t>Profutura Duo 1</t>
  </si>
  <si>
    <t>Profutura Duo 2</t>
  </si>
  <si>
    <t>Profutura Duo 3</t>
  </si>
  <si>
    <t>입고 가능 일수</t>
  </si>
  <si>
    <t>오프라인 납품 기일</t>
  </si>
  <si>
    <t>쿠팡</t>
  </si>
  <si>
    <t>컬리</t>
  </si>
  <si>
    <t>*홍콩 폐기 진행시 예상 비용</t>
  </si>
  <si>
    <t>*국내 폐기 진행시 예상 비용</t>
  </si>
  <si>
    <t>폐기 예상 수량:</t>
  </si>
  <si>
    <t>1,600캔 내외 (2.8 PLT)</t>
  </si>
  <si>
    <t>폐기 비용:</t>
  </si>
  <si>
    <t>PLT당 500~550 HKD</t>
  </si>
  <si>
    <t>40~50만원</t>
  </si>
  <si>
    <t>운송비(홍콩내륙):</t>
  </si>
  <si>
    <t>kg당 , 1HKD</t>
  </si>
  <si>
    <t>운송비(홍콩0한국):</t>
  </si>
  <si>
    <t>250만원 예상</t>
  </si>
  <si>
    <t>네오케이트</t>
  </si>
  <si>
    <t>HKD</t>
  </si>
  <si>
    <t>KRW</t>
  </si>
  <si>
    <t>※ 수입 통관 문제 해결 필요.</t>
  </si>
  <si>
    <t>폐기 비용</t>
  </si>
  <si>
    <t>Z:\Nutricia\99. Sales\송예진\3. 주간업무\한독</t>
  </si>
  <si>
    <t>듀오칼</t>
  </si>
  <si>
    <t>운송비</t>
  </si>
  <si>
    <t>인파트리니</t>
  </si>
  <si>
    <t>펩티시네오</t>
  </si>
  <si>
    <t>펩티 판매 가능 기간  3개월로 변경</t>
  </si>
  <si>
    <t>* 직구</t>
  </si>
  <si>
    <t>10/6~10/19</t>
  </si>
  <si>
    <t>10/13~10/26</t>
  </si>
  <si>
    <t>추가 판매 필요량</t>
  </si>
  <si>
    <t>쇼트 예정 월</t>
  </si>
  <si>
    <t>입고 예정</t>
  </si>
  <si>
    <t>* 중국 물류 테스트 오후 발송</t>
  </si>
  <si>
    <t>11월?</t>
  </si>
  <si>
    <t>전량 폐기</t>
  </si>
  <si>
    <t>Order Number</t>
  </si>
  <si>
    <t>수신인</t>
  </si>
  <si>
    <t>전화번호</t>
  </si>
  <si>
    <t>고유 통관번호</t>
  </si>
  <si>
    <t>품명</t>
  </si>
  <si>
    <t>수량</t>
  </si>
  <si>
    <t>월</t>
  </si>
  <si>
    <t>소요기간</t>
  </si>
  <si>
    <t>송장번호</t>
  </si>
  <si>
    <t>주문일</t>
  </si>
  <si>
    <t>발송일</t>
  </si>
  <si>
    <t>주차</t>
  </si>
  <si>
    <t>편명</t>
  </si>
  <si>
    <t>연태공항 출발</t>
  </si>
  <si>
    <t>일정</t>
  </si>
  <si>
    <t>인천공항 도착</t>
  </si>
  <si>
    <t>수입신고일</t>
  </si>
  <si>
    <t>수입신고 완료</t>
  </si>
  <si>
    <t>택배사 연결</t>
  </si>
  <si>
    <t>도착</t>
  </si>
  <si>
    <t>20240510_test1</t>
  </si>
  <si>
    <t>김영훈</t>
  </si>
  <si>
    <t>10월</t>
  </si>
  <si>
    <t>P931160082310</t>
  </si>
  <si>
    <t>Aptamil Pronutra 2</t>
  </si>
  <si>
    <t>7월~9월</t>
  </si>
  <si>
    <t>무역서류 협의 완료, 포장 박스 금형 제작 완료.</t>
  </si>
  <si>
    <t>일</t>
  </si>
  <si>
    <t>제주항공 7C9304</t>
  </si>
  <si>
    <t>화</t>
  </si>
  <si>
    <t>수</t>
  </si>
  <si>
    <t>목</t>
  </si>
  <si>
    <t>금</t>
  </si>
  <si>
    <t>토</t>
  </si>
  <si>
    <t>5/15 부처님오신날 연휴</t>
  </si>
  <si>
    <t>1~4주차</t>
  </si>
  <si>
    <t>물류 창고 전산 작업 완료, API 연동 작업 완료. 폐기 작업 진행.</t>
  </si>
  <si>
    <t>20240510_test2</t>
  </si>
  <si>
    <t>박효진</t>
  </si>
  <si>
    <t>P230005806137</t>
  </si>
  <si>
    <t>Aptamil Profutra 1</t>
  </si>
  <si>
    <t>5/18~19 주말</t>
  </si>
  <si>
    <t>5주차</t>
  </si>
  <si>
    <t>1차 재고 이관</t>
  </si>
  <si>
    <t>현재고 중 2주분 판매량을 제외한 재고 + 최신 입고분 재고 이관</t>
  </si>
  <si>
    <t>20240510_test3</t>
  </si>
  <si>
    <t>강병현</t>
  </si>
  <si>
    <t>P200017064720</t>
  </si>
  <si>
    <t>Aptamil Profutra 2</t>
  </si>
  <si>
    <t>*물류 테스트 추가 발송 예정건(오전발송)</t>
  </si>
  <si>
    <t>20240522_test1</t>
  </si>
  <si>
    <t>Aptamil Pronutra 1</t>
  </si>
  <si>
    <t>11월</t>
  </si>
  <si>
    <t>1주차</t>
  </si>
  <si>
    <t>중국 출고 시작</t>
  </si>
  <si>
    <t>Central항공 I98809</t>
  </si>
  <si>
    <t>20240522_test2</t>
  </si>
  <si>
    <t>7월말? 8월?</t>
  </si>
  <si>
    <t>2주차</t>
  </si>
  <si>
    <t>2차 재고 이관</t>
  </si>
  <si>
    <t>잔량 이관진행</t>
  </si>
  <si>
    <t>4주차</t>
  </si>
  <si>
    <t>중국 입고 시작</t>
  </si>
  <si>
    <t>중국, 홍콩 배송일정 비교</t>
  </si>
  <si>
    <t>9월 말 선적 건 부터 입고 시작</t>
  </si>
  <si>
    <t>공항 출발</t>
  </si>
  <si>
    <t>6월 선적분 홍콩 입고</t>
  </si>
  <si>
    <t>인천 도착</t>
  </si>
  <si>
    <t>수입신고</t>
  </si>
  <si>
    <t>배송완료</t>
  </si>
  <si>
    <t>홍콩</t>
  </si>
  <si>
    <t>+1</t>
  </si>
  <si>
    <t>+1.66</t>
  </si>
  <si>
    <t>+3</t>
  </si>
  <si>
    <t>중국</t>
  </si>
  <si>
    <t>+0.05</t>
  </si>
  <si>
    <t>+0.52</t>
  </si>
  <si>
    <t>+1.14</t>
  </si>
  <si>
    <t>+2.30</t>
  </si>
  <si>
    <t>* 이관 예정 수량 파악(9/25 기준)</t>
  </si>
  <si>
    <t>9/24 기준</t>
  </si>
  <si>
    <t>~10/31</t>
  </si>
  <si>
    <t>월 평균</t>
  </si>
  <si>
    <t>10월 말일자 
예상 재고</t>
  </si>
  <si>
    <t>파렛트</t>
  </si>
  <si>
    <t>10/28~11/2</t>
  </si>
  <si>
    <t>11/5~11/9</t>
  </si>
  <si>
    <t>출고수량</t>
  </si>
  <si>
    <t>1차이관수량</t>
  </si>
  <si>
    <t>1차 이관 파렛트</t>
  </si>
  <si>
    <t>2차 이관 수량</t>
  </si>
  <si>
    <t>2차 이관 파렛트</t>
  </si>
  <si>
    <t>Pronutra pre</t>
  </si>
  <si>
    <t>Profutra Pre</t>
  </si>
  <si>
    <t>Profutra 1</t>
  </si>
  <si>
    <t>Profutra 2</t>
  </si>
  <si>
    <t>Profutra Kinder</t>
  </si>
  <si>
    <t>총계</t>
  </si>
  <si>
    <t>사용 차량 수</t>
  </si>
  <si>
    <t>입고 처리 일수</t>
  </si>
  <si>
    <t>7월 출고 박스 수량 예상</t>
  </si>
  <si>
    <t>캔수</t>
  </si>
  <si>
    <t>비율</t>
  </si>
  <si>
    <t>박스 수</t>
  </si>
  <si>
    <t>6박스</t>
  </si>
  <si>
    <t>4박스</t>
  </si>
  <si>
    <t>3박스</t>
  </si>
  <si>
    <t>*포장 비용 예상</t>
  </si>
  <si>
    <t>적용환율:</t>
  </si>
  <si>
    <t>장마 대비 외박스 포장</t>
  </si>
  <si>
    <t>단가</t>
  </si>
  <si>
    <t>청구단위</t>
  </si>
  <si>
    <t>청구수량</t>
  </si>
  <si>
    <t>금액(원)</t>
  </si>
  <si>
    <t>6월</t>
  </si>
  <si>
    <t>박스(CTN)</t>
  </si>
  <si>
    <t>7월(예상)</t>
  </si>
  <si>
    <t>총 계</t>
  </si>
  <si>
    <t>중국 캔당 비용</t>
  </si>
  <si>
    <t>+VAT</t>
  </si>
  <si>
    <t>5월</t>
  </si>
  <si>
    <t>7월</t>
  </si>
  <si>
    <t>8월</t>
  </si>
  <si>
    <t>9월</t>
  </si>
  <si>
    <t>12월</t>
  </si>
  <si>
    <t>홍콩 캔당 비용</t>
  </si>
  <si>
    <t>차액</t>
  </si>
  <si>
    <t>절감 예상액</t>
  </si>
  <si>
    <t>비용절감</t>
  </si>
  <si>
    <t>중국창고 이관시 비용 (3/24 재고 기준)</t>
  </si>
  <si>
    <t>완파렛트</t>
  </si>
  <si>
    <t>이전 예상 비용</t>
  </si>
  <si>
    <t>RMB 436,700</t>
  </si>
  <si>
    <t>기준일</t>
  </si>
  <si>
    <t>※ 내수</t>
  </si>
  <si>
    <t>현 재고</t>
  </si>
  <si>
    <t>판매가능일자</t>
  </si>
  <si>
    <t>온라인 판매가능 잔여주차</t>
  </si>
  <si>
    <t>온라인 주별 평균 판매량</t>
  </si>
  <si>
    <t>전주 폐기 예상 수량</t>
  </si>
  <si>
    <t>폐기 예상 수량</t>
  </si>
  <si>
    <t>주별 추가 판매 필요량</t>
  </si>
  <si>
    <t>프로누트라 1단계</t>
  </si>
  <si>
    <t>프로누트라 2단계</t>
  </si>
  <si>
    <t>프로누트라 3단계</t>
  </si>
  <si>
    <t>프로푸트라 1단계</t>
  </si>
  <si>
    <t>프로푸트라 2단계</t>
  </si>
  <si>
    <t>프로푸트라 3단계</t>
  </si>
  <si>
    <t>※ 판매량</t>
  </si>
  <si>
    <t>1W</t>
  </si>
  <si>
    <t>온라인</t>
  </si>
  <si>
    <t>2W</t>
  </si>
  <si>
    <t>3W</t>
  </si>
  <si>
    <t>4W</t>
  </si>
  <si>
    <t xml:space="preserve"> 이마트0온라인</t>
  </si>
  <si>
    <t xml:space="preserve"> 이마트0ssg</t>
  </si>
  <si>
    <t xml:space="preserve"> 이마트0오프라인</t>
  </si>
  <si>
    <t>현재 납품 중 유통기한</t>
  </si>
  <si>
    <t>#N/A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</si>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</sst>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#,##0_);[Red]\(#,##0\)"/>
    <numFmt numFmtId="177" formatCode="#,##0.00_);[Red]\(#,##0.00\)"/>
    <numFmt numFmtId="178" formatCode="&quot;환율 기준: &quot;0,000.00"/>
    <numFmt numFmtId="179" formatCode="_-* #,##0_-;\-* #,##0_-;_-* &quot;-&quot;_-;_-@"/>
    <numFmt numFmtId="180" formatCode="[$₩-412]#,##0.00"/>
    <numFmt numFmtId="181" formatCode="0.0"/>
    <numFmt numFmtId="182" formatCode="#,##0.0_);[Red]\(#,##0.0\)"/>
    <numFmt numFmtId="183" formatCode="yyyy\.\ m\.\ d"/>
    <numFmt numFmtId="184" formatCode="m/d"/>
    <numFmt numFmtId="185" formatCode="yyyy\-mm\-dd"/>
    <numFmt numFmtId="186" formatCode="&quot;€&quot;#,##0.00"/>
    <numFmt numFmtId="187" formatCode="[$€]#,##0.00"/>
    <numFmt numFmtId="188" formatCode="#,##0&quot;일&quot;"/>
    <numFmt numFmtId="189" formatCode="m&quot;월&quot;\ d&quot;일&quot;"/>
    <numFmt numFmtId="190" formatCode="&quot;₩&quot;#,##0.00"/>
    <numFmt numFmtId="191" formatCode="[$₩-412]#,##0"/>
    <numFmt numFmtId="192" formatCode="0_);[Red]\(0\)"/>
  </numFmts>
  <fonts count="87">
    <font>
      <sz val="10"/>
      <color rgb="FF000000"/>
      <name val="Calibri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rgb="FF000000"/>
      <name val="Arial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rgb="FF000000"/>
      <name val="Calibri"/>
      <family val="2"/>
    </font>
    <font>
      <b/>
      <i/>
      <sz val="8"/>
      <color rgb="FFA5A5A5"/>
      <name val="Arial"/>
      <family val="2"/>
    </font>
    <font>
      <b/>
      <i/>
      <sz val="8"/>
      <color rgb="FFFF0000"/>
      <name val="Arial"/>
      <family val="2"/>
    </font>
    <font>
      <sz val="11"/>
      <color rgb="FFFF0000"/>
      <name val="&quot;맑은 고딕&quot;"/>
      <family val="3"/>
      <charset val="129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&quot;맑은 고딕&quot;"/>
      <family val="3"/>
      <charset val="129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&quot;맑은 고딕&quot;"/>
      <family val="3"/>
      <charset val="129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000000"/>
      <name val="Arial"/>
      <family val="2"/>
    </font>
    <font>
      <sz val="10"/>
      <color theme="1"/>
      <name val="돋움"/>
      <family val="3"/>
      <charset val="129"/>
    </font>
    <font>
      <sz val="11"/>
      <color theme="1"/>
      <name val="Arial"/>
      <family val="2"/>
    </font>
    <font>
      <sz val="11"/>
      <color rgb="FF000000"/>
      <name val="&quot;Calibri Light&quot;"/>
    </font>
    <font>
      <sz val="10"/>
      <color theme="1"/>
      <name val="&quot;맑은 고딕&quot;"/>
      <family val="3"/>
      <charset val="129"/>
    </font>
    <font>
      <sz val="9"/>
      <color theme="1"/>
      <name val="Calibri"/>
      <family val="2"/>
      <scheme val="minor"/>
    </font>
    <font>
      <b/>
      <sz val="18"/>
      <color rgb="FF000000"/>
      <name val="나눔고딕"/>
      <family val="3"/>
      <charset val="129"/>
    </font>
    <font>
      <b/>
      <sz val="10"/>
      <color rgb="FF000000"/>
      <name val="나눔고딕"/>
      <charset val="129"/>
    </font>
    <font>
      <b/>
      <sz val="11"/>
      <color rgb="FF000000"/>
      <name val="나눔고딕"/>
      <charset val="129"/>
    </font>
    <font>
      <b/>
      <sz val="11"/>
      <color rgb="FF000000"/>
      <name val="宋体-简"/>
      <family val="3"/>
      <charset val="129"/>
    </font>
    <font>
      <b/>
      <sz val="12"/>
      <color rgb="FF000000"/>
      <name val="&quot;Arial Unicode MS&quot;"/>
    </font>
    <font>
      <b/>
      <sz val="12"/>
      <color rgb="FF000000"/>
      <name val="나눔고딕"/>
      <charset val="129"/>
    </font>
    <font>
      <sz val="12"/>
      <color rgb="FF000000"/>
      <name val="나눔고딕"/>
      <charset val="129"/>
    </font>
    <font>
      <sz val="11"/>
      <color theme="1"/>
      <name val="나눔고딕"/>
      <charset val="129"/>
    </font>
    <font>
      <sz val="11"/>
      <color rgb="FF000000"/>
      <name val="나눔고딕"/>
      <charset val="129"/>
    </font>
    <font>
      <sz val="10"/>
      <color rgb="FF000000"/>
      <name val="나눔고딕"/>
      <charset val="129"/>
    </font>
    <font>
      <b/>
      <sz val="13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&quot;Arial Unicode MS&quot;"/>
    </font>
    <font>
      <b/>
      <i/>
      <sz val="8"/>
      <color rgb="FFA6A6A6"/>
      <name val="Arial"/>
      <family val="2"/>
    </font>
    <font>
      <i/>
      <sz val="9"/>
      <color rgb="FF000000"/>
      <name val="Arial"/>
      <family val="2"/>
    </font>
    <font>
      <i/>
      <sz val="9"/>
      <color rgb="FFFF0000"/>
      <name val="Arial"/>
      <family val="2"/>
    </font>
    <font>
      <sz val="12"/>
      <color rgb="FF212529"/>
      <name val="&quot;맑은 고딕&quot;"/>
      <family val="3"/>
      <charset val="129"/>
    </font>
    <font>
      <b/>
      <sz val="12"/>
      <color rgb="FF212529"/>
      <name val="-apple-system"/>
    </font>
    <font>
      <sz val="12"/>
      <color rgb="FF212529"/>
      <name val="-apple-system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&quot;맑은 고딕&quot;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Tahoma"/>
      <family val="2"/>
    </font>
    <font>
      <sz val="10"/>
      <color theme="1"/>
      <name val="Tahoma"/>
      <family val="2"/>
    </font>
    <font>
      <b/>
      <sz val="13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1"/>
      <color rgb="FFFF0000"/>
      <name val="&quot;Calibri Light&quot;"/>
    </font>
    <font>
      <sz val="11"/>
      <color theme="1"/>
      <name val="Calibri"/>
      <family val="2"/>
      <scheme val="minor"/>
    </font>
    <font>
      <b/>
      <sz val="11"/>
      <color rgb="FF000000"/>
      <name val="&quot;맑은 고딕&quot;"/>
      <family val="3"/>
      <charset val="129"/>
    </font>
    <font>
      <strike/>
      <sz val="12"/>
      <color rgb="FF212529"/>
      <name val="&quot;Segoe UI&quot;"/>
    </font>
    <font>
      <strike/>
      <sz val="12"/>
      <color rgb="FF212529"/>
      <name val="Arial"/>
      <family val="2"/>
    </font>
    <font>
      <strike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&quot;Segoe UI&quot;"/>
    </font>
    <font>
      <sz val="12"/>
      <color rgb="FF212529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&quot;맑은 고딕&quot;"/>
      <family val="3"/>
      <charset val="129"/>
    </font>
    <font>
      <sz val="12"/>
      <color rgb="FF212529"/>
      <name val="Segoe UI"/>
      <family val="2"/>
    </font>
    <font>
      <b/>
      <sz val="15"/>
      <color rgb="FF000000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sz val="8"/>
      <name val="Calibri"/>
      <family val="3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CE4D6"/>
        <bgColor rgb="FFFCE4D6"/>
      </patternFill>
    </fill>
    <fill>
      <patternFill patternType="solid">
        <fgColor rgb="FFFEF2CB"/>
        <bgColor rgb="FFFEF2CB"/>
      </patternFill>
    </fill>
    <fill>
      <patternFill patternType="solid">
        <fgColor rgb="FF5A8AC6"/>
        <bgColor rgb="FF5A8AC6"/>
      </patternFill>
    </fill>
    <fill>
      <patternFill patternType="solid">
        <fgColor rgb="FFFEF7F6"/>
        <bgColor rgb="FFFEF7F6"/>
      </patternFill>
    </fill>
    <fill>
      <patternFill patternType="solid">
        <fgColor rgb="FFB5D2ED"/>
        <bgColor rgb="FFB5D2ED"/>
      </patternFill>
    </fill>
    <fill>
      <patternFill patternType="solid">
        <fgColor rgb="FFB2D0EC"/>
        <bgColor rgb="FFB2D0EC"/>
      </patternFill>
    </fill>
    <fill>
      <patternFill patternType="solid">
        <fgColor rgb="FFBAD5EE"/>
        <bgColor rgb="FFBAD5EE"/>
      </patternFill>
    </fill>
    <fill>
      <patternFill patternType="solid">
        <fgColor rgb="FFB3D1EC"/>
        <bgColor rgb="FFB3D1EC"/>
      </patternFill>
    </fill>
    <fill>
      <patternFill patternType="solid">
        <fgColor rgb="FFD0CECE"/>
        <bgColor rgb="FFD0CECE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F4F6F8"/>
        <bgColor rgb="FFF4F6F8"/>
      </patternFill>
    </fill>
    <fill>
      <patternFill patternType="solid">
        <fgColor rgb="FFFCE5CD"/>
        <bgColor rgb="FFFCE5CD"/>
      </patternFill>
    </fill>
    <fill>
      <patternFill patternType="solid">
        <fgColor theme="7"/>
        <bgColor theme="7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AEEAC4"/>
        <bgColor rgb="FFAEEAC4"/>
      </patternFill>
    </fill>
    <fill>
      <patternFill patternType="solid">
        <fgColor rgb="FFFFFF99"/>
        <bgColor rgb="FFFFFF99"/>
      </patternFill>
    </fill>
    <fill>
      <patternFill patternType="solid">
        <fgColor rgb="FFB7B7B7"/>
        <bgColor rgb="FFB7B7B7"/>
      </patternFill>
    </fill>
    <fill>
      <patternFill patternType="solid">
        <fgColor rgb="FFFFD965"/>
        <bgColor rgb="FFFFD965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medium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CC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10">
    <xf numFmtId="0" fontId="0" fillId="0" borderId="0" xfId="0"/>
    <xf numFmtId="176" fontId="1" fillId="2" borderId="0" xfId="0" applyNumberFormat="1" applyFont="1" applyFill="1"/>
    <xf numFmtId="177" fontId="1" fillId="2" borderId="0" xfId="0" applyNumberFormat="1" applyFont="1" applyFill="1"/>
    <xf numFmtId="176" fontId="1" fillId="0" borderId="0" xfId="0" applyNumberFormat="1" applyFont="1"/>
    <xf numFmtId="0" fontId="2" fillId="0" borderId="0" xfId="0" applyFont="1"/>
    <xf numFmtId="176" fontId="3" fillId="0" borderId="0" xfId="0" applyNumberFormat="1" applyFont="1"/>
    <xf numFmtId="178" fontId="4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179" fontId="5" fillId="0" borderId="0" xfId="0" applyNumberFormat="1" applyFont="1"/>
    <xf numFmtId="176" fontId="7" fillId="3" borderId="3" xfId="0" applyNumberFormat="1" applyFont="1" applyFill="1" applyBorder="1" applyAlignment="1">
      <alignment horizontal="center"/>
    </xf>
    <xf numFmtId="177" fontId="8" fillId="2" borderId="3" xfId="0" applyNumberFormat="1" applyFont="1" applyFill="1" applyBorder="1" applyAlignment="1">
      <alignment horizontal="center"/>
    </xf>
    <xf numFmtId="177" fontId="1" fillId="2" borderId="3" xfId="0" applyNumberFormat="1" applyFont="1" applyFill="1" applyBorder="1" applyAlignment="1">
      <alignment horizontal="center"/>
    </xf>
    <xf numFmtId="177" fontId="9" fillId="2" borderId="3" xfId="0" applyNumberFormat="1" applyFont="1" applyFill="1" applyBorder="1" applyAlignment="1">
      <alignment horizontal="center"/>
    </xf>
    <xf numFmtId="176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176" fontId="10" fillId="5" borderId="3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/>
    </xf>
    <xf numFmtId="177" fontId="1" fillId="2" borderId="3" xfId="0" applyNumberFormat="1" applyFont="1" applyFill="1" applyBorder="1"/>
    <xf numFmtId="176" fontId="1" fillId="2" borderId="3" xfId="0" applyNumberFormat="1" applyFont="1" applyFill="1" applyBorder="1"/>
    <xf numFmtId="4" fontId="1" fillId="2" borderId="3" xfId="0" applyNumberFormat="1" applyFont="1" applyFill="1" applyBorder="1"/>
    <xf numFmtId="0" fontId="10" fillId="5" borderId="10" xfId="0" applyFont="1" applyFill="1" applyBorder="1" applyAlignment="1">
      <alignment horizontal="center" vertical="center"/>
    </xf>
    <xf numFmtId="176" fontId="10" fillId="5" borderId="11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right"/>
    </xf>
    <xf numFmtId="3" fontId="9" fillId="0" borderId="1" xfId="0" applyNumberFormat="1" applyFont="1" applyBorder="1"/>
    <xf numFmtId="179" fontId="9" fillId="0" borderId="1" xfId="0" applyNumberFormat="1" applyFont="1" applyBorder="1"/>
    <xf numFmtId="179" fontId="9" fillId="0" borderId="12" xfId="0" applyNumberFormat="1" applyFont="1" applyBorder="1"/>
    <xf numFmtId="179" fontId="9" fillId="0" borderId="7" xfId="0" applyNumberFormat="1" applyFont="1" applyBorder="1"/>
    <xf numFmtId="179" fontId="13" fillId="7" borderId="1" xfId="0" applyNumberFormat="1" applyFont="1" applyFill="1" applyBorder="1" applyAlignment="1">
      <alignment horizontal="right"/>
    </xf>
    <xf numFmtId="179" fontId="13" fillId="7" borderId="3" xfId="0" applyNumberFormat="1" applyFont="1" applyFill="1" applyBorder="1" applyAlignment="1">
      <alignment horizontal="right"/>
    </xf>
    <xf numFmtId="179" fontId="14" fillId="0" borderId="1" xfId="0" applyNumberFormat="1" applyFont="1" applyBorder="1" applyAlignment="1">
      <alignment horizontal="right" vertical="center"/>
    </xf>
    <xf numFmtId="179" fontId="14" fillId="0" borderId="7" xfId="0" applyNumberFormat="1" applyFont="1" applyBorder="1" applyAlignment="1">
      <alignment horizontal="right" vertical="center"/>
    </xf>
    <xf numFmtId="179" fontId="15" fillId="0" borderId="3" xfId="0" applyNumberFormat="1" applyFont="1" applyBorder="1" applyAlignment="1">
      <alignment horizontal="right"/>
    </xf>
    <xf numFmtId="179" fontId="2" fillId="0" borderId="3" xfId="0" applyNumberFormat="1" applyFont="1" applyBorder="1"/>
    <xf numFmtId="179" fontId="9" fillId="3" borderId="1" xfId="0" applyNumberFormat="1" applyFont="1" applyFill="1" applyBorder="1"/>
    <xf numFmtId="179" fontId="9" fillId="8" borderId="1" xfId="0" applyNumberFormat="1" applyFont="1" applyFill="1" applyBorder="1"/>
    <xf numFmtId="179" fontId="9" fillId="3" borderId="12" xfId="0" applyNumberFormat="1" applyFont="1" applyFill="1" applyBorder="1"/>
    <xf numFmtId="179" fontId="9" fillId="8" borderId="7" xfId="0" applyNumberFormat="1" applyFont="1" applyFill="1" applyBorder="1"/>
    <xf numFmtId="179" fontId="13" fillId="7" borderId="14" xfId="0" applyNumberFormat="1" applyFont="1" applyFill="1" applyBorder="1" applyAlignment="1">
      <alignment horizontal="right"/>
    </xf>
    <xf numFmtId="179" fontId="15" fillId="0" borderId="2" xfId="0" applyNumberFormat="1" applyFont="1" applyBorder="1" applyAlignment="1">
      <alignment horizontal="right"/>
    </xf>
    <xf numFmtId="179" fontId="13" fillId="7" borderId="15" xfId="0" applyNumberFormat="1" applyFont="1" applyFill="1" applyBorder="1" applyAlignment="1">
      <alignment horizontal="right"/>
    </xf>
    <xf numFmtId="179" fontId="13" fillId="2" borderId="14" xfId="0" applyNumberFormat="1" applyFont="1" applyFill="1" applyBorder="1" applyAlignment="1">
      <alignment horizontal="right"/>
    </xf>
    <xf numFmtId="0" fontId="10" fillId="5" borderId="16" xfId="0" applyFont="1" applyFill="1" applyBorder="1" applyAlignment="1">
      <alignment horizontal="center" vertical="center"/>
    </xf>
    <xf numFmtId="176" fontId="10" fillId="5" borderId="17" xfId="0" applyNumberFormat="1" applyFont="1" applyFill="1" applyBorder="1" applyAlignment="1">
      <alignment horizontal="center" vertical="center"/>
    </xf>
    <xf numFmtId="179" fontId="16" fillId="7" borderId="15" xfId="0" applyNumberFormat="1" applyFont="1" applyFill="1" applyBorder="1"/>
    <xf numFmtId="179" fontId="16" fillId="7" borderId="14" xfId="0" applyNumberFormat="1" applyFont="1" applyFill="1" applyBorder="1"/>
    <xf numFmtId="176" fontId="10" fillId="9" borderId="3" xfId="0" applyNumberFormat="1" applyFont="1" applyFill="1" applyBorder="1" applyAlignment="1">
      <alignment horizontal="center" vertical="center"/>
    </xf>
    <xf numFmtId="176" fontId="1" fillId="10" borderId="3" xfId="0" applyNumberFormat="1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 vertical="center"/>
    </xf>
    <xf numFmtId="176" fontId="10" fillId="9" borderId="11" xfId="0" applyNumberFormat="1" applyFont="1" applyFill="1" applyBorder="1" applyAlignment="1">
      <alignment horizontal="center" vertical="center"/>
    </xf>
    <xf numFmtId="179" fontId="9" fillId="10" borderId="7" xfId="0" applyNumberFormat="1" applyFont="1" applyFill="1" applyBorder="1"/>
    <xf numFmtId="179" fontId="9" fillId="10" borderId="1" xfId="0" applyNumberFormat="1" applyFont="1" applyFill="1" applyBorder="1"/>
    <xf numFmtId="0" fontId="10" fillId="9" borderId="16" xfId="0" applyFont="1" applyFill="1" applyBorder="1" applyAlignment="1">
      <alignment horizontal="center" vertical="center"/>
    </xf>
    <xf numFmtId="176" fontId="10" fillId="9" borderId="17" xfId="0" applyNumberFormat="1" applyFont="1" applyFill="1" applyBorder="1" applyAlignment="1">
      <alignment horizontal="center" vertical="center"/>
    </xf>
    <xf numFmtId="0" fontId="11" fillId="11" borderId="18" xfId="0" applyFont="1" applyFill="1" applyBorder="1" applyAlignment="1">
      <alignment horizontal="center" vertical="center"/>
    </xf>
    <xf numFmtId="176" fontId="10" fillId="11" borderId="17" xfId="0" applyNumberFormat="1" applyFont="1" applyFill="1" applyBorder="1" applyAlignment="1">
      <alignment horizontal="center" vertical="center"/>
    </xf>
    <xf numFmtId="176" fontId="11" fillId="11" borderId="18" xfId="0" applyNumberFormat="1" applyFont="1" applyFill="1" applyBorder="1" applyAlignment="1">
      <alignment horizontal="center" vertical="center"/>
    </xf>
    <xf numFmtId="179" fontId="11" fillId="4" borderId="1" xfId="0" applyNumberFormat="1" applyFont="1" applyFill="1" applyBorder="1" applyAlignment="1">
      <alignment horizontal="center" vertical="center"/>
    </xf>
    <xf numFmtId="179" fontId="11" fillId="4" borderId="12" xfId="0" applyNumberFormat="1" applyFont="1" applyFill="1" applyBorder="1" applyAlignment="1">
      <alignment horizontal="center" vertical="center"/>
    </xf>
    <xf numFmtId="179" fontId="11" fillId="4" borderId="7" xfId="0" applyNumberFormat="1" applyFont="1" applyFill="1" applyBorder="1" applyAlignment="1">
      <alignment horizontal="center" vertical="center"/>
    </xf>
    <xf numFmtId="179" fontId="11" fillId="4" borderId="2" xfId="0" applyNumberFormat="1" applyFont="1" applyFill="1" applyBorder="1" applyAlignment="1">
      <alignment horizontal="center" vertical="center"/>
    </xf>
    <xf numFmtId="179" fontId="11" fillId="4" borderId="3" xfId="0" applyNumberFormat="1" applyFont="1" applyFill="1" applyBorder="1" applyAlignment="1">
      <alignment horizontal="center" vertical="center"/>
    </xf>
    <xf numFmtId="179" fontId="11" fillId="4" borderId="3" xfId="0" applyNumberFormat="1" applyFont="1" applyFill="1" applyBorder="1" applyAlignment="1">
      <alignment horizontal="center"/>
    </xf>
    <xf numFmtId="176" fontId="5" fillId="0" borderId="0" xfId="0" applyNumberFormat="1" applyFont="1"/>
    <xf numFmtId="179" fontId="11" fillId="4" borderId="1" xfId="0" applyNumberFormat="1" applyFont="1" applyFill="1" applyBorder="1" applyAlignment="1">
      <alignment horizontal="right"/>
    </xf>
    <xf numFmtId="179" fontId="11" fillId="4" borderId="12" xfId="0" applyNumberFormat="1" applyFont="1" applyFill="1" applyBorder="1" applyAlignment="1">
      <alignment horizontal="right"/>
    </xf>
    <xf numFmtId="179" fontId="11" fillId="4" borderId="3" xfId="0" applyNumberFormat="1" applyFont="1" applyFill="1" applyBorder="1" applyAlignment="1">
      <alignment horizontal="right"/>
    </xf>
    <xf numFmtId="179" fontId="11" fillId="4" borderId="7" xfId="0" applyNumberFormat="1" applyFont="1" applyFill="1" applyBorder="1" applyAlignment="1">
      <alignment horizontal="right"/>
    </xf>
    <xf numFmtId="179" fontId="11" fillId="4" borderId="19" xfId="0" applyNumberFormat="1" applyFont="1" applyFill="1" applyBorder="1" applyAlignment="1">
      <alignment horizontal="right"/>
    </xf>
    <xf numFmtId="176" fontId="1" fillId="0" borderId="0" xfId="0" applyNumberFormat="1" applyFont="1" applyAlignment="1">
      <alignment vertical="center"/>
    </xf>
    <xf numFmtId="180" fontId="5" fillId="0" borderId="0" xfId="0" applyNumberFormat="1" applyFont="1"/>
    <xf numFmtId="1" fontId="5" fillId="0" borderId="0" xfId="0" applyNumberFormat="1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76" fontId="10" fillId="5" borderId="1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1" fillId="5" borderId="6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/>
    </xf>
    <xf numFmtId="176" fontId="13" fillId="8" borderId="1" xfId="0" applyNumberFormat="1" applyFont="1" applyFill="1" applyBorder="1" applyAlignment="1">
      <alignment horizontal="center" vertical="center"/>
    </xf>
    <xf numFmtId="176" fontId="13" fillId="8" borderId="12" xfId="0" applyNumberFormat="1" applyFont="1" applyFill="1" applyBorder="1" applyAlignment="1">
      <alignment horizontal="center" vertical="center"/>
    </xf>
    <xf numFmtId="176" fontId="13" fillId="8" borderId="2" xfId="0" applyNumberFormat="1" applyFont="1" applyFill="1" applyBorder="1" applyAlignment="1">
      <alignment horizontal="center"/>
    </xf>
    <xf numFmtId="176" fontId="13" fillId="8" borderId="3" xfId="0" applyNumberFormat="1" applyFont="1" applyFill="1" applyBorder="1" applyAlignment="1">
      <alignment horizontal="center"/>
    </xf>
    <xf numFmtId="176" fontId="13" fillId="8" borderId="7" xfId="0" applyNumberFormat="1" applyFont="1" applyFill="1" applyBorder="1" applyAlignment="1">
      <alignment horizontal="center"/>
    </xf>
    <xf numFmtId="176" fontId="13" fillId="0" borderId="2" xfId="0" applyNumberFormat="1" applyFont="1" applyBorder="1" applyAlignment="1">
      <alignment horizontal="center"/>
    </xf>
    <xf numFmtId="176" fontId="10" fillId="0" borderId="2" xfId="0" applyNumberFormat="1" applyFont="1" applyBorder="1" applyAlignment="1">
      <alignment horizontal="center"/>
    </xf>
    <xf numFmtId="3" fontId="13" fillId="8" borderId="1" xfId="0" applyNumberFormat="1" applyFont="1" applyFill="1" applyBorder="1" applyAlignment="1">
      <alignment horizontal="center" vertical="center"/>
    </xf>
    <xf numFmtId="176" fontId="13" fillId="8" borderId="20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/>
    </xf>
    <xf numFmtId="177" fontId="19" fillId="0" borderId="0" xfId="0" applyNumberFormat="1" applyFont="1" applyAlignment="1">
      <alignment horizontal="center"/>
    </xf>
    <xf numFmtId="176" fontId="11" fillId="11" borderId="3" xfId="0" applyNumberFormat="1" applyFont="1" applyFill="1" applyBorder="1" applyAlignment="1">
      <alignment horizontal="center" vertical="center"/>
    </xf>
    <xf numFmtId="176" fontId="10" fillId="11" borderId="3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0" borderId="20" xfId="0" applyNumberFormat="1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/>
    </xf>
    <xf numFmtId="176" fontId="1" fillId="5" borderId="14" xfId="0" applyNumberFormat="1" applyFont="1" applyFill="1" applyBorder="1" applyAlignment="1">
      <alignment vertical="center"/>
    </xf>
    <xf numFmtId="176" fontId="11" fillId="5" borderId="19" xfId="0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/>
    </xf>
    <xf numFmtId="10" fontId="5" fillId="0" borderId="0" xfId="0" applyNumberFormat="1" applyFont="1"/>
    <xf numFmtId="176" fontId="2" fillId="0" borderId="0" xfId="0" applyNumberFormat="1" applyFont="1" applyAlignment="1">
      <alignment horizontal="right"/>
    </xf>
    <xf numFmtId="176" fontId="20" fillId="2" borderId="0" xfId="0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177" fontId="20" fillId="12" borderId="0" xfId="0" applyNumberFormat="1" applyFont="1" applyFill="1" applyAlignment="1">
      <alignment horizontal="center"/>
    </xf>
    <xf numFmtId="177" fontId="20" fillId="2" borderId="0" xfId="0" applyNumberFormat="1" applyFont="1" applyFill="1" applyAlignment="1">
      <alignment horizontal="center"/>
    </xf>
    <xf numFmtId="176" fontId="11" fillId="13" borderId="1" xfId="0" applyNumberFormat="1" applyFont="1" applyFill="1" applyBorder="1" applyAlignment="1">
      <alignment horizontal="center"/>
    </xf>
    <xf numFmtId="176" fontId="11" fillId="13" borderId="6" xfId="0" applyNumberFormat="1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176" fontId="20" fillId="12" borderId="0" xfId="0" applyNumberFormat="1" applyFont="1" applyFill="1" applyAlignment="1">
      <alignment horizontal="center"/>
    </xf>
    <xf numFmtId="176" fontId="10" fillId="5" borderId="2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right"/>
    </xf>
    <xf numFmtId="3" fontId="13" fillId="8" borderId="1" xfId="0" applyNumberFormat="1" applyFont="1" applyFill="1" applyBorder="1" applyAlignment="1">
      <alignment horizontal="right"/>
    </xf>
    <xf numFmtId="3" fontId="5" fillId="0" borderId="0" xfId="0" applyNumberFormat="1" applyFont="1"/>
    <xf numFmtId="176" fontId="13" fillId="0" borderId="12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76" fontId="10" fillId="5" borderId="18" xfId="0" applyNumberFormat="1" applyFont="1" applyFill="1" applyBorder="1" applyAlignment="1">
      <alignment horizontal="center" vertical="center"/>
    </xf>
    <xf numFmtId="176" fontId="20" fillId="8" borderId="0" xfId="0" applyNumberFormat="1" applyFont="1" applyFill="1" applyAlignment="1">
      <alignment horizontal="center"/>
    </xf>
    <xf numFmtId="176" fontId="10" fillId="9" borderId="21" xfId="0" applyNumberFormat="1" applyFont="1" applyFill="1" applyBorder="1" applyAlignment="1">
      <alignment horizontal="center" vertical="center"/>
    </xf>
    <xf numFmtId="3" fontId="21" fillId="0" borderId="0" xfId="0" applyNumberFormat="1" applyFont="1" applyAlignment="1">
      <alignment horizontal="center"/>
    </xf>
    <xf numFmtId="176" fontId="21" fillId="0" borderId="0" xfId="0" applyNumberFormat="1" applyFont="1" applyAlignment="1">
      <alignment horizontal="center"/>
    </xf>
    <xf numFmtId="176" fontId="10" fillId="9" borderId="18" xfId="0" applyNumberFormat="1" applyFont="1" applyFill="1" applyBorder="1" applyAlignment="1">
      <alignment horizontal="center" vertical="center"/>
    </xf>
    <xf numFmtId="3" fontId="13" fillId="0" borderId="12" xfId="0" applyNumberFormat="1" applyFont="1" applyBorder="1" applyAlignment="1">
      <alignment horizontal="right"/>
    </xf>
    <xf numFmtId="176" fontId="22" fillId="2" borderId="0" xfId="0" applyNumberFormat="1" applyFont="1" applyFill="1"/>
    <xf numFmtId="177" fontId="22" fillId="2" borderId="0" xfId="0" applyNumberFormat="1" applyFont="1" applyFill="1"/>
    <xf numFmtId="176" fontId="1" fillId="13" borderId="14" xfId="0" applyNumberFormat="1" applyFont="1" applyFill="1" applyBorder="1" applyAlignment="1">
      <alignment vertical="center"/>
    </xf>
    <xf numFmtId="176" fontId="11" fillId="13" borderId="1" xfId="0" applyNumberFormat="1" applyFont="1" applyFill="1" applyBorder="1" applyAlignment="1">
      <alignment horizontal="right"/>
    </xf>
    <xf numFmtId="176" fontId="11" fillId="13" borderId="19" xfId="0" applyNumberFormat="1" applyFont="1" applyFill="1" applyBorder="1" applyAlignment="1">
      <alignment horizontal="right"/>
    </xf>
    <xf numFmtId="3" fontId="22" fillId="2" borderId="0" xfId="0" applyNumberFormat="1" applyFont="1" applyFill="1"/>
    <xf numFmtId="177" fontId="23" fillId="3" borderId="0" xfId="0" applyNumberFormat="1" applyFont="1" applyFill="1"/>
    <xf numFmtId="177" fontId="2" fillId="2" borderId="0" xfId="0" applyNumberFormat="1" applyFont="1" applyFill="1"/>
    <xf numFmtId="181" fontId="13" fillId="14" borderId="1" xfId="0" applyNumberFormat="1" applyFont="1" applyFill="1" applyBorder="1" applyAlignment="1">
      <alignment horizontal="right"/>
    </xf>
    <xf numFmtId="181" fontId="13" fillId="14" borderId="12" xfId="0" applyNumberFormat="1" applyFont="1" applyFill="1" applyBorder="1" applyAlignment="1">
      <alignment horizontal="right"/>
    </xf>
    <xf numFmtId="181" fontId="10" fillId="15" borderId="1" xfId="0" applyNumberFormat="1" applyFont="1" applyFill="1" applyBorder="1" applyAlignment="1">
      <alignment horizontal="right"/>
    </xf>
    <xf numFmtId="181" fontId="10" fillId="16" borderId="1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181" fontId="10" fillId="17" borderId="1" xfId="0" applyNumberFormat="1" applyFont="1" applyFill="1" applyBorder="1" applyAlignment="1">
      <alignment horizontal="right"/>
    </xf>
    <xf numFmtId="181" fontId="10" fillId="18" borderId="1" xfId="0" applyNumberFormat="1" applyFont="1" applyFill="1" applyBorder="1" applyAlignment="1">
      <alignment horizontal="right"/>
    </xf>
    <xf numFmtId="181" fontId="10" fillId="19" borderId="1" xfId="0" applyNumberFormat="1" applyFont="1" applyFill="1" applyBorder="1" applyAlignment="1">
      <alignment horizontal="right"/>
    </xf>
    <xf numFmtId="3" fontId="13" fillId="0" borderId="3" xfId="0" applyNumberFormat="1" applyFont="1" applyBorder="1" applyAlignment="1">
      <alignment horizontal="right"/>
    </xf>
    <xf numFmtId="176" fontId="1" fillId="13" borderId="14" xfId="0" applyNumberFormat="1" applyFont="1" applyFill="1" applyBorder="1"/>
    <xf numFmtId="182" fontId="11" fillId="13" borderId="1" xfId="0" applyNumberFormat="1" applyFont="1" applyFill="1" applyBorder="1" applyAlignment="1">
      <alignment horizontal="right"/>
    </xf>
    <xf numFmtId="182" fontId="11" fillId="13" borderId="19" xfId="0" applyNumberFormat="1" applyFont="1" applyFill="1" applyBorder="1" applyAlignment="1">
      <alignment horizontal="right"/>
    </xf>
    <xf numFmtId="177" fontId="5" fillId="0" borderId="0" xfId="0" applyNumberFormat="1" applyFont="1"/>
    <xf numFmtId="0" fontId="15" fillId="0" borderId="0" xfId="0" applyFont="1"/>
    <xf numFmtId="176" fontId="7" fillId="3" borderId="0" xfId="0" applyNumberFormat="1" applyFont="1" applyFill="1" applyAlignment="1">
      <alignment horizontal="center"/>
    </xf>
    <xf numFmtId="177" fontId="8" fillId="2" borderId="6" xfId="0" applyNumberFormat="1" applyFont="1" applyFill="1" applyBorder="1" applyAlignment="1">
      <alignment horizontal="center"/>
    </xf>
    <xf numFmtId="176" fontId="1" fillId="6" borderId="6" xfId="0" applyNumberFormat="1" applyFont="1" applyFill="1" applyBorder="1" applyAlignment="1">
      <alignment horizontal="center"/>
    </xf>
    <xf numFmtId="177" fontId="1" fillId="2" borderId="12" xfId="0" applyNumberFormat="1" applyFont="1" applyFill="1" applyBorder="1"/>
    <xf numFmtId="176" fontId="1" fillId="6" borderId="12" xfId="0" applyNumberFormat="1" applyFont="1" applyFill="1" applyBorder="1" applyAlignment="1">
      <alignment horizontal="center"/>
    </xf>
    <xf numFmtId="176" fontId="10" fillId="9" borderId="1" xfId="0" applyNumberFormat="1" applyFont="1" applyFill="1" applyBorder="1" applyAlignment="1">
      <alignment horizontal="center" vertical="center"/>
    </xf>
    <xf numFmtId="176" fontId="1" fillId="10" borderId="12" xfId="0" applyNumberFormat="1" applyFont="1" applyFill="1" applyBorder="1" applyAlignment="1">
      <alignment horizontal="center"/>
    </xf>
    <xf numFmtId="176" fontId="1" fillId="10" borderId="19" xfId="0" applyNumberFormat="1" applyFont="1" applyFill="1" applyBorder="1" applyAlignment="1">
      <alignment horizontal="center"/>
    </xf>
    <xf numFmtId="177" fontId="1" fillId="2" borderId="19" xfId="0" applyNumberFormat="1" applyFont="1" applyFill="1" applyBorder="1"/>
    <xf numFmtId="0" fontId="15" fillId="20" borderId="22" xfId="0" applyFont="1" applyFill="1" applyBorder="1" applyAlignment="1">
      <alignment horizontal="center"/>
    </xf>
    <xf numFmtId="0" fontId="15" fillId="20" borderId="4" xfId="0" applyFont="1" applyFill="1" applyBorder="1" applyAlignment="1">
      <alignment horizontal="center"/>
    </xf>
    <xf numFmtId="0" fontId="24" fillId="20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83" fontId="15" fillId="20" borderId="5" xfId="0" applyNumberFormat="1" applyFont="1" applyFill="1" applyBorder="1" applyAlignment="1">
      <alignment horizontal="center"/>
    </xf>
    <xf numFmtId="0" fontId="15" fillId="20" borderId="5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184" fontId="15" fillId="3" borderId="0" xfId="0" applyNumberFormat="1" applyFont="1" applyFill="1" applyAlignment="1">
      <alignment horizontal="center"/>
    </xf>
    <xf numFmtId="0" fontId="15" fillId="0" borderId="15" xfId="0" applyFont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3" fontId="15" fillId="0" borderId="3" xfId="0" applyNumberFormat="1" applyFont="1" applyBorder="1" applyAlignment="1">
      <alignment horizontal="center"/>
    </xf>
    <xf numFmtId="183" fontId="24" fillId="2" borderId="3" xfId="0" applyNumberFormat="1" applyFont="1" applyFill="1" applyBorder="1" applyAlignment="1">
      <alignment horizontal="center"/>
    </xf>
    <xf numFmtId="3" fontId="15" fillId="0" borderId="24" xfId="0" applyNumberFormat="1" applyFont="1" applyBorder="1" applyAlignment="1">
      <alignment horizontal="center"/>
    </xf>
    <xf numFmtId="185" fontId="24" fillId="2" borderId="3" xfId="0" applyNumberFormat="1" applyFont="1" applyFill="1" applyBorder="1" applyAlignment="1">
      <alignment horizontal="center"/>
    </xf>
    <xf numFmtId="3" fontId="15" fillId="0" borderId="15" xfId="0" applyNumberFormat="1" applyFont="1" applyBorder="1" applyAlignment="1">
      <alignment horizontal="center"/>
    </xf>
    <xf numFmtId="0" fontId="25" fillId="2" borderId="0" xfId="0" applyFont="1" applyFill="1"/>
    <xf numFmtId="0" fontId="26" fillId="2" borderId="0" xfId="0" applyFont="1" applyFill="1"/>
    <xf numFmtId="0" fontId="13" fillId="0" borderId="0" xfId="0" applyFont="1"/>
    <xf numFmtId="0" fontId="27" fillId="0" borderId="0" xfId="0" applyFont="1"/>
    <xf numFmtId="0" fontId="28" fillId="0" borderId="0" xfId="0" applyFont="1"/>
    <xf numFmtId="0" fontId="5" fillId="2" borderId="0" xfId="0" applyFont="1" applyFill="1"/>
    <xf numFmtId="0" fontId="5" fillId="8" borderId="0" xfId="0" applyFont="1" applyFill="1"/>
    <xf numFmtId="0" fontId="3" fillId="0" borderId="0" xfId="0" applyFont="1"/>
    <xf numFmtId="0" fontId="29" fillId="0" borderId="0" xfId="0" applyFont="1"/>
    <xf numFmtId="176" fontId="11" fillId="4" borderId="7" xfId="0" applyNumberFormat="1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/>
    </xf>
    <xf numFmtId="0" fontId="25" fillId="23" borderId="3" xfId="0" applyFont="1" applyFill="1" applyBorder="1" applyAlignment="1">
      <alignment horizontal="center"/>
    </xf>
    <xf numFmtId="0" fontId="13" fillId="22" borderId="3" xfId="0" applyFont="1" applyFill="1" applyBorder="1" applyAlignment="1">
      <alignment horizontal="center"/>
    </xf>
    <xf numFmtId="3" fontId="13" fillId="2" borderId="1" xfId="0" applyNumberFormat="1" applyFont="1" applyFill="1" applyBorder="1"/>
    <xf numFmtId="3" fontId="13" fillId="8" borderId="12" xfId="0" applyNumberFormat="1" applyFont="1" applyFill="1" applyBorder="1"/>
    <xf numFmtId="3" fontId="9" fillId="0" borderId="7" xfId="0" applyNumberFormat="1" applyFont="1" applyBorder="1"/>
    <xf numFmtId="3" fontId="13" fillId="0" borderId="3" xfId="0" applyNumberFormat="1" applyFont="1" applyBorder="1"/>
    <xf numFmtId="0" fontId="24" fillId="8" borderId="3" xfId="0" applyFont="1" applyFill="1" applyBorder="1" applyAlignment="1">
      <alignment horizontal="center"/>
    </xf>
    <xf numFmtId="3" fontId="13" fillId="0" borderId="1" xfId="0" applyNumberFormat="1" applyFont="1" applyBorder="1"/>
    <xf numFmtId="3" fontId="13" fillId="0" borderId="7" xfId="0" applyNumberFormat="1" applyFont="1" applyBorder="1"/>
    <xf numFmtId="3" fontId="13" fillId="3" borderId="3" xfId="0" applyNumberFormat="1" applyFont="1" applyFill="1" applyBorder="1"/>
    <xf numFmtId="3" fontId="13" fillId="0" borderId="0" xfId="0" applyNumberFormat="1" applyFont="1" applyAlignment="1">
      <alignment horizontal="right"/>
    </xf>
    <xf numFmtId="0" fontId="13" fillId="0" borderId="3" xfId="0" applyFont="1" applyBorder="1"/>
    <xf numFmtId="3" fontId="13" fillId="3" borderId="1" xfId="0" applyNumberFormat="1" applyFont="1" applyFill="1" applyBorder="1"/>
    <xf numFmtId="3" fontId="13" fillId="24" borderId="1" xfId="0" applyNumberFormat="1" applyFont="1" applyFill="1" applyBorder="1"/>
    <xf numFmtId="0" fontId="13" fillId="12" borderId="1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183" fontId="5" fillId="0" borderId="0" xfId="0" applyNumberFormat="1" applyFont="1" applyAlignment="1">
      <alignment horizontal="center"/>
    </xf>
    <xf numFmtId="0" fontId="13" fillId="25" borderId="1" xfId="0" applyFont="1" applyFill="1" applyBorder="1" applyAlignment="1">
      <alignment horizontal="center"/>
    </xf>
    <xf numFmtId="0" fontId="25" fillId="6" borderId="3" xfId="0" applyFont="1" applyFill="1" applyBorder="1" applyAlignment="1">
      <alignment horizontal="center"/>
    </xf>
    <xf numFmtId="0" fontId="13" fillId="25" borderId="3" xfId="0" applyFont="1" applyFill="1" applyBorder="1" applyAlignment="1">
      <alignment horizontal="center"/>
    </xf>
    <xf numFmtId="3" fontId="29" fillId="8" borderId="1" xfId="0" applyNumberFormat="1" applyFont="1" applyFill="1" applyBorder="1" applyAlignment="1">
      <alignment horizontal="right"/>
    </xf>
    <xf numFmtId="3" fontId="13" fillId="8" borderId="12" xfId="0" applyNumberFormat="1" applyFont="1" applyFill="1" applyBorder="1" applyAlignment="1">
      <alignment horizontal="right"/>
    </xf>
    <xf numFmtId="3" fontId="13" fillId="8" borderId="3" xfId="0" applyNumberFormat="1" applyFont="1" applyFill="1" applyBorder="1" applyAlignment="1">
      <alignment horizontal="right"/>
    </xf>
    <xf numFmtId="3" fontId="13" fillId="3" borderId="1" xfId="0" applyNumberFormat="1" applyFont="1" applyFill="1" applyBorder="1" applyAlignment="1">
      <alignment horizontal="right"/>
    </xf>
    <xf numFmtId="3" fontId="13" fillId="8" borderId="19" xfId="0" applyNumberFormat="1" applyFont="1" applyFill="1" applyBorder="1" applyAlignment="1">
      <alignment horizontal="right"/>
    </xf>
    <xf numFmtId="3" fontId="13" fillId="0" borderId="4" xfId="0" applyNumberFormat="1" applyFont="1" applyBorder="1"/>
    <xf numFmtId="0" fontId="13" fillId="11" borderId="3" xfId="0" applyFont="1" applyFill="1" applyBorder="1" applyAlignment="1">
      <alignment horizontal="center"/>
    </xf>
    <xf numFmtId="3" fontId="13" fillId="2" borderId="1" xfId="0" applyNumberFormat="1" applyFont="1" applyFill="1" applyBorder="1" applyAlignment="1">
      <alignment horizontal="right"/>
    </xf>
    <xf numFmtId="3" fontId="13" fillId="8" borderId="20" xfId="0" applyNumberFormat="1" applyFont="1" applyFill="1" applyBorder="1" applyAlignment="1">
      <alignment horizontal="right"/>
    </xf>
    <xf numFmtId="3" fontId="13" fillId="8" borderId="7" xfId="0" applyNumberFormat="1" applyFont="1" applyFill="1" applyBorder="1" applyAlignment="1">
      <alignment horizontal="right"/>
    </xf>
    <xf numFmtId="3" fontId="13" fillId="8" borderId="14" xfId="0" applyNumberFormat="1" applyFont="1" applyFill="1" applyBorder="1" applyAlignment="1">
      <alignment horizontal="right"/>
    </xf>
    <xf numFmtId="3" fontId="13" fillId="8" borderId="6" xfId="0" applyNumberFormat="1" applyFont="1" applyFill="1" applyBorder="1" applyAlignment="1">
      <alignment horizontal="right"/>
    </xf>
    <xf numFmtId="0" fontId="29" fillId="21" borderId="1" xfId="0" applyFont="1" applyFill="1" applyBorder="1" applyAlignment="1">
      <alignment horizontal="center"/>
    </xf>
    <xf numFmtId="3" fontId="29" fillId="21" borderId="1" xfId="0" applyNumberFormat="1" applyFont="1" applyFill="1" applyBorder="1" applyAlignment="1">
      <alignment horizontal="right"/>
    </xf>
    <xf numFmtId="3" fontId="29" fillId="21" borderId="12" xfId="0" applyNumberFormat="1" applyFont="1" applyFill="1" applyBorder="1" applyAlignment="1">
      <alignment horizontal="right"/>
    </xf>
    <xf numFmtId="3" fontId="29" fillId="21" borderId="7" xfId="0" applyNumberFormat="1" applyFont="1" applyFill="1" applyBorder="1" applyAlignment="1">
      <alignment horizontal="right"/>
    </xf>
    <xf numFmtId="3" fontId="29" fillId="21" borderId="15" xfId="0" applyNumberFormat="1" applyFont="1" applyFill="1" applyBorder="1" applyAlignment="1">
      <alignment horizontal="right"/>
    </xf>
    <xf numFmtId="3" fontId="29" fillId="21" borderId="3" xfId="0" applyNumberFormat="1" applyFont="1" applyFill="1" applyBorder="1" applyAlignment="1">
      <alignment horizontal="right"/>
    </xf>
    <xf numFmtId="3" fontId="15" fillId="0" borderId="2" xfId="0" applyNumberFormat="1" applyFont="1" applyBorder="1" applyAlignment="1">
      <alignment horizontal="center"/>
    </xf>
    <xf numFmtId="3" fontId="15" fillId="0" borderId="17" xfId="0" applyNumberFormat="1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3" fontId="29" fillId="21" borderId="19" xfId="0" applyNumberFormat="1" applyFont="1" applyFill="1" applyBorder="1" applyAlignment="1">
      <alignment horizontal="right"/>
    </xf>
    <xf numFmtId="3" fontId="13" fillId="0" borderId="2" xfId="0" applyNumberFormat="1" applyFont="1" applyBorder="1" applyAlignment="1">
      <alignment horizontal="right"/>
    </xf>
    <xf numFmtId="3" fontId="2" fillId="0" borderId="2" xfId="0" applyNumberFormat="1" applyFont="1" applyBorder="1"/>
    <xf numFmtId="0" fontId="26" fillId="0" borderId="0" xfId="0" applyFont="1"/>
    <xf numFmtId="0" fontId="29" fillId="0" borderId="0" xfId="0" applyFont="1" applyAlignment="1">
      <alignment horizontal="center"/>
    </xf>
    <xf numFmtId="0" fontId="17" fillId="0" borderId="18" xfId="0" applyFont="1" applyBorder="1" applyAlignment="1">
      <alignment horizontal="center"/>
    </xf>
    <xf numFmtId="176" fontId="11" fillId="5" borderId="3" xfId="0" applyNumberFormat="1" applyFont="1" applyFill="1" applyBorder="1" applyAlignment="1">
      <alignment horizontal="center"/>
    </xf>
    <xf numFmtId="176" fontId="11" fillId="5" borderId="6" xfId="0" applyNumberFormat="1" applyFont="1" applyFill="1" applyBorder="1" applyAlignment="1">
      <alignment horizontal="center"/>
    </xf>
    <xf numFmtId="0" fontId="29" fillId="22" borderId="3" xfId="0" applyFont="1" applyFill="1" applyBorder="1" applyAlignment="1">
      <alignment horizontal="center"/>
    </xf>
    <xf numFmtId="3" fontId="13" fillId="2" borderId="25" xfId="0" applyNumberFormat="1" applyFont="1" applyFill="1" applyBorder="1" applyAlignment="1">
      <alignment horizontal="right"/>
    </xf>
    <xf numFmtId="3" fontId="13" fillId="2" borderId="3" xfId="0" applyNumberFormat="1" applyFont="1" applyFill="1" applyBorder="1" applyAlignment="1">
      <alignment horizontal="right"/>
    </xf>
    <xf numFmtId="0" fontId="29" fillId="22" borderId="1" xfId="0" applyFont="1" applyFill="1" applyBorder="1" applyAlignment="1">
      <alignment horizontal="center"/>
    </xf>
    <xf numFmtId="3" fontId="29" fillId="22" borderId="1" xfId="0" applyNumberFormat="1" applyFont="1" applyFill="1" applyBorder="1" applyAlignment="1">
      <alignment horizontal="right"/>
    </xf>
    <xf numFmtId="3" fontId="29" fillId="22" borderId="19" xfId="0" applyNumberFormat="1" applyFont="1" applyFill="1" applyBorder="1" applyAlignment="1">
      <alignment horizontal="right"/>
    </xf>
    <xf numFmtId="3" fontId="29" fillId="22" borderId="3" xfId="0" applyNumberFormat="1" applyFont="1" applyFill="1" applyBorder="1" applyAlignment="1">
      <alignment horizontal="right"/>
    </xf>
    <xf numFmtId="0" fontId="30" fillId="2" borderId="0" xfId="0" applyFont="1" applyFill="1"/>
    <xf numFmtId="0" fontId="31" fillId="0" borderId="0" xfId="0" applyFont="1" applyAlignment="1">
      <alignment horizontal="center"/>
    </xf>
    <xf numFmtId="3" fontId="25" fillId="2" borderId="0" xfId="0" applyNumberFormat="1" applyFont="1" applyFill="1"/>
    <xf numFmtId="176" fontId="29" fillId="6" borderId="1" xfId="0" applyNumberFormat="1" applyFont="1" applyFill="1" applyBorder="1" applyAlignment="1">
      <alignment horizontal="center"/>
    </xf>
    <xf numFmtId="176" fontId="29" fillId="6" borderId="6" xfId="0" applyNumberFormat="1" applyFont="1" applyFill="1" applyBorder="1" applyAlignment="1">
      <alignment horizontal="center"/>
    </xf>
    <xf numFmtId="0" fontId="29" fillId="6" borderId="2" xfId="0" applyFont="1" applyFill="1" applyBorder="1" applyAlignment="1">
      <alignment horizontal="center"/>
    </xf>
    <xf numFmtId="0" fontId="29" fillId="6" borderId="3" xfId="0" applyFont="1" applyFill="1" applyBorder="1" applyAlignment="1">
      <alignment horizontal="center"/>
    </xf>
    <xf numFmtId="0" fontId="21" fillId="22" borderId="3" xfId="0" applyFont="1" applyFill="1" applyBorder="1" applyAlignment="1">
      <alignment horizontal="center"/>
    </xf>
    <xf numFmtId="3" fontId="21" fillId="1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horizontal="center"/>
    </xf>
    <xf numFmtId="3" fontId="13" fillId="0" borderId="7" xfId="0" applyNumberFormat="1" applyFont="1" applyBorder="1" applyAlignment="1">
      <alignment horizontal="right"/>
    </xf>
    <xf numFmtId="3" fontId="13" fillId="3" borderId="12" xfId="0" applyNumberFormat="1" applyFont="1" applyFill="1" applyBorder="1" applyAlignment="1">
      <alignment horizontal="right"/>
    </xf>
    <xf numFmtId="0" fontId="21" fillId="12" borderId="3" xfId="0" applyFont="1" applyFill="1" applyBorder="1" applyAlignment="1">
      <alignment horizontal="center"/>
    </xf>
    <xf numFmtId="0" fontId="21" fillId="25" borderId="3" xfId="0" applyFont="1" applyFill="1" applyBorder="1" applyAlignment="1">
      <alignment horizontal="center"/>
    </xf>
    <xf numFmtId="0" fontId="21" fillId="11" borderId="3" xfId="0" applyFont="1" applyFill="1" applyBorder="1" applyAlignment="1">
      <alignment horizontal="center"/>
    </xf>
    <xf numFmtId="3" fontId="10" fillId="0" borderId="1" xfId="0" applyNumberFormat="1" applyFont="1" applyBorder="1"/>
    <xf numFmtId="3" fontId="13" fillId="3" borderId="3" xfId="0" applyNumberFormat="1" applyFont="1" applyFill="1" applyBorder="1" applyAlignment="1">
      <alignment horizontal="right"/>
    </xf>
    <xf numFmtId="3" fontId="10" fillId="3" borderId="3" xfId="0" applyNumberFormat="1" applyFont="1" applyFill="1" applyBorder="1"/>
    <xf numFmtId="3" fontId="10" fillId="3" borderId="1" xfId="0" applyNumberFormat="1" applyFont="1" applyFill="1" applyBorder="1"/>
    <xf numFmtId="3" fontId="10" fillId="8" borderId="1" xfId="0" applyNumberFormat="1" applyFont="1" applyFill="1" applyBorder="1"/>
    <xf numFmtId="3" fontId="10" fillId="0" borderId="3" xfId="0" applyNumberFormat="1" applyFont="1" applyBorder="1"/>
    <xf numFmtId="0" fontId="26" fillId="6" borderId="3" xfId="0" applyFont="1" applyFill="1" applyBorder="1"/>
    <xf numFmtId="0" fontId="29" fillId="6" borderId="1" xfId="0" applyFont="1" applyFill="1" applyBorder="1" applyAlignment="1">
      <alignment horizontal="center"/>
    </xf>
    <xf numFmtId="3" fontId="29" fillId="6" borderId="1" xfId="0" applyNumberFormat="1" applyFont="1" applyFill="1" applyBorder="1" applyAlignment="1">
      <alignment horizontal="right"/>
    </xf>
    <xf numFmtId="3" fontId="29" fillId="6" borderId="19" xfId="0" applyNumberFormat="1" applyFont="1" applyFill="1" applyBorder="1" applyAlignment="1">
      <alignment horizontal="right"/>
    </xf>
    <xf numFmtId="3" fontId="29" fillId="6" borderId="7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center"/>
    </xf>
    <xf numFmtId="0" fontId="29" fillId="6" borderId="6" xfId="0" applyFont="1" applyFill="1" applyBorder="1" applyAlignment="1">
      <alignment horizontal="center"/>
    </xf>
    <xf numFmtId="181" fontId="13" fillId="14" borderId="7" xfId="0" applyNumberFormat="1" applyFont="1" applyFill="1" applyBorder="1" applyAlignment="1">
      <alignment horizontal="right"/>
    </xf>
    <xf numFmtId="181" fontId="13" fillId="14" borderId="19" xfId="0" applyNumberFormat="1" applyFont="1" applyFill="1" applyBorder="1" applyAlignment="1">
      <alignment horizontal="right"/>
    </xf>
    <xf numFmtId="181" fontId="13" fillId="14" borderId="4" xfId="0" applyNumberFormat="1" applyFont="1" applyFill="1" applyBorder="1" applyAlignment="1">
      <alignment horizontal="right"/>
    </xf>
    <xf numFmtId="181" fontId="13" fillId="14" borderId="14" xfId="0" applyNumberFormat="1" applyFont="1" applyFill="1" applyBorder="1" applyAlignment="1">
      <alignment horizontal="right"/>
    </xf>
    <xf numFmtId="181" fontId="13" fillId="14" borderId="6" xfId="0" applyNumberFormat="1" applyFont="1" applyFill="1" applyBorder="1" applyAlignment="1">
      <alignment horizontal="right"/>
    </xf>
    <xf numFmtId="4" fontId="29" fillId="6" borderId="1" xfId="0" applyNumberFormat="1" applyFont="1" applyFill="1" applyBorder="1" applyAlignment="1">
      <alignment horizontal="right"/>
    </xf>
    <xf numFmtId="4" fontId="29" fillId="6" borderId="19" xfId="0" applyNumberFormat="1" applyFont="1" applyFill="1" applyBorder="1" applyAlignment="1">
      <alignment horizontal="right"/>
    </xf>
    <xf numFmtId="4" fontId="29" fillId="6" borderId="14" xfId="0" applyNumberFormat="1" applyFont="1" applyFill="1" applyBorder="1" applyAlignment="1">
      <alignment horizontal="right"/>
    </xf>
    <xf numFmtId="3" fontId="13" fillId="3" borderId="7" xfId="0" applyNumberFormat="1" applyFont="1" applyFill="1" applyBorder="1"/>
    <xf numFmtId="3" fontId="13" fillId="8" borderId="2" xfId="0" applyNumberFormat="1" applyFont="1" applyFill="1" applyBorder="1" applyAlignment="1">
      <alignment horizontal="right"/>
    </xf>
    <xf numFmtId="0" fontId="25" fillId="23" borderId="6" xfId="0" applyFont="1" applyFill="1" applyBorder="1" applyAlignment="1">
      <alignment horizontal="center"/>
    </xf>
    <xf numFmtId="3" fontId="29" fillId="21" borderId="2" xfId="0" applyNumberFormat="1" applyFont="1" applyFill="1" applyBorder="1" applyAlignment="1">
      <alignment horizontal="right"/>
    </xf>
    <xf numFmtId="0" fontId="25" fillId="23" borderId="12" xfId="0" applyFont="1" applyFill="1" applyBorder="1" applyAlignment="1">
      <alignment horizontal="center"/>
    </xf>
    <xf numFmtId="0" fontId="25" fillId="10" borderId="12" xfId="0" applyFont="1" applyFill="1" applyBorder="1" applyAlignment="1">
      <alignment horizontal="center"/>
    </xf>
    <xf numFmtId="3" fontId="29" fillId="8" borderId="12" xfId="0" applyNumberFormat="1" applyFont="1" applyFill="1" applyBorder="1" applyAlignment="1">
      <alignment horizontal="right"/>
    </xf>
    <xf numFmtId="0" fontId="25" fillId="6" borderId="12" xfId="0" applyFont="1" applyFill="1" applyBorder="1" applyAlignment="1">
      <alignment horizontal="center"/>
    </xf>
    <xf numFmtId="0" fontId="25" fillId="6" borderId="19" xfId="0" applyFont="1" applyFill="1" applyBorder="1" applyAlignment="1">
      <alignment horizontal="center"/>
    </xf>
    <xf numFmtId="0" fontId="18" fillId="13" borderId="0" xfId="0" applyFont="1" applyFill="1" applyAlignment="1">
      <alignment horizontal="center"/>
    </xf>
    <xf numFmtId="0" fontId="13" fillId="24" borderId="3" xfId="0" applyFont="1" applyFill="1" applyBorder="1" applyAlignment="1">
      <alignment horizontal="center"/>
    </xf>
    <xf numFmtId="3" fontId="10" fillId="8" borderId="12" xfId="0" applyNumberFormat="1" applyFont="1" applyFill="1" applyBorder="1"/>
    <xf numFmtId="3" fontId="10" fillId="0" borderId="12" xfId="0" applyNumberFormat="1" applyFont="1" applyBorder="1"/>
    <xf numFmtId="0" fontId="15" fillId="0" borderId="3" xfId="0" applyFont="1" applyBorder="1"/>
    <xf numFmtId="0" fontId="15" fillId="26" borderId="3" xfId="0" applyFont="1" applyFill="1" applyBorder="1"/>
    <xf numFmtId="0" fontId="5" fillId="0" borderId="3" xfId="0" applyFont="1" applyBorder="1"/>
    <xf numFmtId="0" fontId="5" fillId="26" borderId="3" xfId="0" applyFont="1" applyFill="1" applyBorder="1"/>
    <xf numFmtId="0" fontId="15" fillId="26" borderId="3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/>
    </xf>
    <xf numFmtId="3" fontId="15" fillId="27" borderId="3" xfId="0" applyNumberFormat="1" applyFont="1" applyFill="1" applyBorder="1" applyAlignment="1">
      <alignment horizontal="right"/>
    </xf>
    <xf numFmtId="0" fontId="5" fillId="27" borderId="3" xfId="0" applyFont="1" applyFill="1" applyBorder="1"/>
    <xf numFmtId="0" fontId="13" fillId="5" borderId="17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7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3" fontId="32" fillId="0" borderId="0" xfId="0" applyNumberFormat="1" applyFont="1" applyAlignment="1">
      <alignment horizontal="right"/>
    </xf>
    <xf numFmtId="0" fontId="5" fillId="0" borderId="3" xfId="0" applyFont="1" applyBorder="1" applyAlignment="1">
      <alignment horizontal="center"/>
    </xf>
    <xf numFmtId="4" fontId="29" fillId="6" borderId="3" xfId="0" applyNumberFormat="1" applyFont="1" applyFill="1" applyBorder="1" applyAlignment="1">
      <alignment horizontal="right"/>
    </xf>
    <xf numFmtId="0" fontId="16" fillId="5" borderId="14" xfId="0" applyFont="1" applyFill="1" applyBorder="1"/>
    <xf numFmtId="9" fontId="1" fillId="0" borderId="0" xfId="0" applyNumberFormat="1" applyFont="1"/>
    <xf numFmtId="0" fontId="1" fillId="28" borderId="0" xfId="0" applyFont="1" applyFill="1"/>
    <xf numFmtId="176" fontId="11" fillId="0" borderId="18" xfId="0" applyNumberFormat="1" applyFont="1" applyBorder="1" applyAlignment="1">
      <alignment horizontal="center"/>
    </xf>
    <xf numFmtId="176" fontId="11" fillId="0" borderId="0" xfId="0" applyNumberFormat="1" applyFont="1" applyAlignment="1">
      <alignment horizontal="center"/>
    </xf>
    <xf numFmtId="176" fontId="11" fillId="4" borderId="3" xfId="0" applyNumberFormat="1" applyFont="1" applyFill="1" applyBorder="1" applyAlignment="1">
      <alignment horizontal="center"/>
    </xf>
    <xf numFmtId="176" fontId="11" fillId="4" borderId="27" xfId="0" applyNumberFormat="1" applyFont="1" applyFill="1" applyBorder="1" applyAlignment="1">
      <alignment horizontal="center"/>
    </xf>
    <xf numFmtId="176" fontId="11" fillId="4" borderId="2" xfId="0" applyNumberFormat="1" applyFont="1" applyFill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176" fontId="10" fillId="5" borderId="11" xfId="0" applyNumberFormat="1" applyFont="1" applyFill="1" applyBorder="1" applyAlignment="1">
      <alignment horizontal="center"/>
    </xf>
    <xf numFmtId="3" fontId="9" fillId="3" borderId="3" xfId="0" applyNumberFormat="1" applyFont="1" applyFill="1" applyBorder="1" applyAlignment="1">
      <alignment horizontal="right"/>
    </xf>
    <xf numFmtId="3" fontId="9" fillId="3" borderId="3" xfId="0" applyNumberFormat="1" applyFont="1" applyFill="1" applyBorder="1"/>
    <xf numFmtId="3" fontId="9" fillId="2" borderId="1" xfId="0" applyNumberFormat="1" applyFont="1" applyFill="1" applyBorder="1"/>
    <xf numFmtId="3" fontId="9" fillId="2" borderId="28" xfId="0" applyNumberFormat="1" applyFont="1" applyFill="1" applyBorder="1"/>
    <xf numFmtId="0" fontId="9" fillId="2" borderId="2" xfId="0" applyFont="1" applyFill="1" applyBorder="1" applyAlignment="1">
      <alignment horizontal="right"/>
    </xf>
    <xf numFmtId="0" fontId="9" fillId="2" borderId="3" xfId="0" applyFont="1" applyFill="1" applyBorder="1" applyAlignment="1">
      <alignment horizontal="right"/>
    </xf>
    <xf numFmtId="179" fontId="9" fillId="0" borderId="3" xfId="0" applyNumberFormat="1" applyFont="1" applyBorder="1"/>
    <xf numFmtId="179" fontId="9" fillId="28" borderId="3" xfId="0" applyNumberFormat="1" applyFont="1" applyFill="1" applyBorder="1"/>
    <xf numFmtId="0" fontId="33" fillId="0" borderId="15" xfId="0" applyFont="1" applyBorder="1" applyAlignment="1">
      <alignment horizontal="center"/>
    </xf>
    <xf numFmtId="3" fontId="33" fillId="0" borderId="17" xfId="0" applyNumberFormat="1" applyFont="1" applyBorder="1" applyAlignment="1">
      <alignment horizontal="center"/>
    </xf>
    <xf numFmtId="3" fontId="34" fillId="29" borderId="13" xfId="0" applyNumberFormat="1" applyFont="1" applyFill="1" applyBorder="1"/>
    <xf numFmtId="3" fontId="34" fillId="29" borderId="13" xfId="0" applyNumberFormat="1" applyFont="1" applyFill="1" applyBorder="1" applyAlignment="1">
      <alignment horizontal="center"/>
    </xf>
    <xf numFmtId="0" fontId="24" fillId="20" borderId="22" xfId="0" applyFont="1" applyFill="1" applyBorder="1" applyAlignment="1">
      <alignment horizontal="center"/>
    </xf>
    <xf numFmtId="3" fontId="9" fillId="3" borderId="1" xfId="0" applyNumberFormat="1" applyFont="1" applyFill="1" applyBorder="1"/>
    <xf numFmtId="183" fontId="24" fillId="20" borderId="5" xfId="0" applyNumberFormat="1" applyFont="1" applyFill="1" applyBorder="1" applyAlignment="1">
      <alignment horizontal="center"/>
    </xf>
    <xf numFmtId="0" fontId="24" fillId="20" borderId="5" xfId="0" applyFont="1" applyFill="1" applyBorder="1" applyAlignment="1">
      <alignment horizontal="center"/>
    </xf>
    <xf numFmtId="0" fontId="35" fillId="8" borderId="3" xfId="0" applyFont="1" applyFill="1" applyBorder="1" applyAlignment="1">
      <alignment horizontal="center"/>
    </xf>
    <xf numFmtId="3" fontId="9" fillId="2" borderId="28" xfId="0" applyNumberFormat="1" applyFont="1" applyFill="1" applyBorder="1" applyAlignment="1">
      <alignment horizontal="right"/>
    </xf>
    <xf numFmtId="3" fontId="35" fillId="8" borderId="3" xfId="0" applyNumberFormat="1" applyFont="1" applyFill="1" applyBorder="1" applyAlignment="1">
      <alignment horizontal="center"/>
    </xf>
    <xf numFmtId="0" fontId="9" fillId="2" borderId="2" xfId="0" applyFont="1" applyFill="1" applyBorder="1"/>
    <xf numFmtId="183" fontId="35" fillId="8" borderId="3" xfId="0" applyNumberFormat="1" applyFont="1" applyFill="1" applyBorder="1" applyAlignment="1">
      <alignment horizontal="center"/>
    </xf>
    <xf numFmtId="176" fontId="10" fillId="5" borderId="17" xfId="0" applyNumberFormat="1" applyFont="1" applyFill="1" applyBorder="1" applyAlignment="1">
      <alignment horizontal="center"/>
    </xf>
    <xf numFmtId="0" fontId="9" fillId="2" borderId="28" xfId="0" applyFont="1" applyFill="1" applyBorder="1" applyAlignment="1">
      <alignment horizontal="right"/>
    </xf>
    <xf numFmtId="0" fontId="9" fillId="2" borderId="3" xfId="0" applyFont="1" applyFill="1" applyBorder="1"/>
    <xf numFmtId="176" fontId="10" fillId="9" borderId="11" xfId="0" applyNumberFormat="1" applyFont="1" applyFill="1" applyBorder="1" applyAlignment="1">
      <alignment horizontal="center"/>
    </xf>
    <xf numFmtId="0" fontId="9" fillId="0" borderId="3" xfId="0" applyFont="1" applyBorder="1"/>
    <xf numFmtId="3" fontId="9" fillId="3" borderId="1" xfId="0" applyNumberFormat="1" applyFont="1" applyFill="1" applyBorder="1" applyAlignment="1">
      <alignment horizontal="right"/>
    </xf>
    <xf numFmtId="3" fontId="9" fillId="2" borderId="2" xfId="0" applyNumberFormat="1" applyFont="1" applyFill="1" applyBorder="1" applyAlignment="1">
      <alignment horizontal="right"/>
    </xf>
    <xf numFmtId="3" fontId="9" fillId="2" borderId="3" xfId="0" applyNumberFormat="1" applyFont="1" applyFill="1" applyBorder="1" applyAlignment="1">
      <alignment horizontal="right"/>
    </xf>
    <xf numFmtId="3" fontId="9" fillId="0" borderId="3" xfId="0" applyNumberFormat="1" applyFont="1" applyBorder="1"/>
    <xf numFmtId="0" fontId="9" fillId="8" borderId="3" xfId="0" applyFont="1" applyFill="1" applyBorder="1" applyAlignment="1">
      <alignment horizontal="center"/>
    </xf>
    <xf numFmtId="183" fontId="9" fillId="8" borderId="3" xfId="0" applyNumberFormat="1" applyFont="1" applyFill="1" applyBorder="1" applyAlignment="1">
      <alignment horizontal="center"/>
    </xf>
    <xf numFmtId="0" fontId="9" fillId="3" borderId="3" xfId="0" applyFont="1" applyFill="1" applyBorder="1"/>
    <xf numFmtId="3" fontId="9" fillId="3" borderId="28" xfId="0" applyNumberFormat="1" applyFont="1" applyFill="1" applyBorder="1" applyAlignment="1">
      <alignment horizontal="right"/>
    </xf>
    <xf numFmtId="176" fontId="10" fillId="9" borderId="17" xfId="0" applyNumberFormat="1" applyFont="1" applyFill="1" applyBorder="1" applyAlignment="1">
      <alignment horizontal="center"/>
    </xf>
    <xf numFmtId="3" fontId="24" fillId="3" borderId="3" xfId="0" applyNumberFormat="1" applyFont="1" applyFill="1" applyBorder="1" applyAlignment="1">
      <alignment horizontal="right"/>
    </xf>
    <xf numFmtId="3" fontId="9" fillId="8" borderId="1" xfId="0" applyNumberFormat="1" applyFont="1" applyFill="1" applyBorder="1" applyAlignment="1">
      <alignment horizontal="right"/>
    </xf>
    <xf numFmtId="0" fontId="9" fillId="3" borderId="28" xfId="0" applyFont="1" applyFill="1" applyBorder="1"/>
    <xf numFmtId="179" fontId="11" fillId="4" borderId="28" xfId="0" applyNumberFormat="1" applyFont="1" applyFill="1" applyBorder="1" applyAlignment="1">
      <alignment horizontal="right"/>
    </xf>
    <xf numFmtId="179" fontId="11" fillId="4" borderId="2" xfId="0" applyNumberFormat="1" applyFont="1" applyFill="1" applyBorder="1" applyAlignment="1">
      <alignment horizontal="right"/>
    </xf>
    <xf numFmtId="179" fontId="11" fillId="4" borderId="29" xfId="0" applyNumberFormat="1" applyFont="1" applyFill="1" applyBorder="1" applyAlignment="1">
      <alignment horizontal="right"/>
    </xf>
    <xf numFmtId="176" fontId="1" fillId="0" borderId="18" xfId="0" applyNumberFormat="1" applyFont="1" applyBorder="1"/>
    <xf numFmtId="176" fontId="17" fillId="0" borderId="18" xfId="0" applyNumberFormat="1" applyFont="1" applyBorder="1" applyAlignment="1">
      <alignment horizontal="center"/>
    </xf>
    <xf numFmtId="176" fontId="17" fillId="0" borderId="0" xfId="0" applyNumberFormat="1" applyFont="1" applyAlignment="1">
      <alignment horizontal="center"/>
    </xf>
    <xf numFmtId="176" fontId="11" fillId="5" borderId="27" xfId="0" applyNumberFormat="1" applyFont="1" applyFill="1" applyBorder="1" applyAlignment="1">
      <alignment horizontal="center"/>
    </xf>
    <xf numFmtId="176" fontId="11" fillId="5" borderId="2" xfId="0" applyNumberFormat="1" applyFont="1" applyFill="1" applyBorder="1" applyAlignment="1">
      <alignment horizontal="center"/>
    </xf>
    <xf numFmtId="3" fontId="10" fillId="0" borderId="3" xfId="0" applyNumberFormat="1" applyFont="1" applyBorder="1" applyAlignment="1">
      <alignment horizontal="right"/>
    </xf>
    <xf numFmtId="176" fontId="10" fillId="0" borderId="3" xfId="0" applyNumberFormat="1" applyFont="1" applyBorder="1" applyAlignment="1">
      <alignment horizontal="right"/>
    </xf>
    <xf numFmtId="176" fontId="10" fillId="0" borderId="1" xfId="0" applyNumberFormat="1" applyFont="1" applyBorder="1" applyAlignment="1">
      <alignment horizontal="right"/>
    </xf>
    <xf numFmtId="176" fontId="10" fillId="0" borderId="28" xfId="0" applyNumberFormat="1" applyFont="1" applyBorder="1" applyAlignment="1">
      <alignment horizontal="right"/>
    </xf>
    <xf numFmtId="176" fontId="13" fillId="28" borderId="3" xfId="0" applyNumberFormat="1" applyFont="1" applyFill="1" applyBorder="1" applyAlignment="1">
      <alignment horizontal="center"/>
    </xf>
    <xf numFmtId="176" fontId="13" fillId="28" borderId="2" xfId="0" applyNumberFormat="1" applyFont="1" applyFill="1" applyBorder="1" applyAlignment="1">
      <alignment horizontal="center"/>
    </xf>
    <xf numFmtId="176" fontId="13" fillId="28" borderId="15" xfId="0" applyNumberFormat="1" applyFont="1" applyFill="1" applyBorder="1" applyAlignment="1">
      <alignment horizontal="center"/>
    </xf>
    <xf numFmtId="176" fontId="13" fillId="28" borderId="17" xfId="0" applyNumberFormat="1" applyFont="1" applyFill="1" applyBorder="1" applyAlignment="1">
      <alignment horizontal="center"/>
    </xf>
    <xf numFmtId="176" fontId="1" fillId="5" borderId="14" xfId="0" applyNumberFormat="1" applyFont="1" applyFill="1" applyBorder="1"/>
    <xf numFmtId="176" fontId="11" fillId="5" borderId="3" xfId="0" applyNumberFormat="1" applyFont="1" applyFill="1" applyBorder="1" applyAlignment="1">
      <alignment horizontal="right"/>
    </xf>
    <xf numFmtId="176" fontId="11" fillId="5" borderId="1" xfId="0" applyNumberFormat="1" applyFont="1" applyFill="1" applyBorder="1" applyAlignment="1">
      <alignment horizontal="right"/>
    </xf>
    <xf numFmtId="176" fontId="11" fillId="5" borderId="29" xfId="0" applyNumberFormat="1" applyFont="1" applyFill="1" applyBorder="1" applyAlignment="1">
      <alignment horizontal="right"/>
    </xf>
    <xf numFmtId="176" fontId="11" fillId="5" borderId="2" xfId="0" applyNumberFormat="1" applyFont="1" applyFill="1" applyBorder="1" applyAlignment="1">
      <alignment horizontal="right"/>
    </xf>
    <xf numFmtId="176" fontId="13" fillId="2" borderId="9" xfId="0" applyNumberFormat="1" applyFont="1" applyFill="1" applyBorder="1"/>
    <xf numFmtId="176" fontId="11" fillId="13" borderId="15" xfId="0" applyNumberFormat="1" applyFont="1" applyFill="1" applyBorder="1" applyAlignment="1">
      <alignment horizontal="center"/>
    </xf>
    <xf numFmtId="176" fontId="11" fillId="13" borderId="14" xfId="0" applyNumberFormat="1" applyFont="1" applyFill="1" applyBorder="1" applyAlignment="1">
      <alignment horizontal="center"/>
    </xf>
    <xf numFmtId="176" fontId="11" fillId="13" borderId="17" xfId="0" applyNumberFormat="1" applyFont="1" applyFill="1" applyBorder="1" applyAlignment="1">
      <alignment horizontal="center"/>
    </xf>
    <xf numFmtId="3" fontId="13" fillId="2" borderId="9" xfId="0" applyNumberFormat="1" applyFont="1" applyFill="1" applyBorder="1" applyAlignment="1">
      <alignment horizontal="right"/>
    </xf>
    <xf numFmtId="176" fontId="13" fillId="2" borderId="9" xfId="0" applyNumberFormat="1" applyFont="1" applyFill="1" applyBorder="1" applyAlignment="1">
      <alignment horizontal="right"/>
    </xf>
    <xf numFmtId="183" fontId="5" fillId="0" borderId="0" xfId="0" applyNumberFormat="1" applyFont="1"/>
    <xf numFmtId="176" fontId="10" fillId="5" borderId="21" xfId="0" applyNumberFormat="1" applyFont="1" applyFill="1" applyBorder="1" applyAlignment="1">
      <alignment horizontal="center"/>
    </xf>
    <xf numFmtId="179" fontId="9" fillId="3" borderId="11" xfId="0" applyNumberFormat="1" applyFont="1" applyFill="1" applyBorder="1" applyAlignment="1">
      <alignment horizontal="right"/>
    </xf>
    <xf numFmtId="176" fontId="10" fillId="5" borderId="18" xfId="0" applyNumberFormat="1" applyFont="1" applyFill="1" applyBorder="1" applyAlignment="1">
      <alignment horizontal="center"/>
    </xf>
    <xf numFmtId="176" fontId="10" fillId="9" borderId="21" xfId="0" applyNumberFormat="1" applyFont="1" applyFill="1" applyBorder="1" applyAlignment="1">
      <alignment horizontal="center"/>
    </xf>
    <xf numFmtId="176" fontId="10" fillId="9" borderId="18" xfId="0" applyNumberFormat="1" applyFont="1" applyFill="1" applyBorder="1" applyAlignment="1">
      <alignment horizontal="center"/>
    </xf>
    <xf numFmtId="176" fontId="22" fillId="2" borderId="9" xfId="0" applyNumberFormat="1" applyFont="1" applyFill="1" applyBorder="1"/>
    <xf numFmtId="176" fontId="11" fillId="13" borderId="3" xfId="0" applyNumberFormat="1" applyFont="1" applyFill="1" applyBorder="1" applyAlignment="1">
      <alignment horizontal="right"/>
    </xf>
    <xf numFmtId="176" fontId="11" fillId="13" borderId="2" xfId="0" applyNumberFormat="1" applyFont="1" applyFill="1" applyBorder="1" applyAlignment="1">
      <alignment horizontal="right"/>
    </xf>
    <xf numFmtId="176" fontId="26" fillId="13" borderId="3" xfId="0" applyNumberFormat="1" applyFont="1" applyFill="1" applyBorder="1" applyAlignment="1">
      <alignment horizontal="right"/>
    </xf>
    <xf numFmtId="182" fontId="1" fillId="0" borderId="0" xfId="0" applyNumberFormat="1" applyFont="1"/>
    <xf numFmtId="176" fontId="1" fillId="2" borderId="18" xfId="0" applyNumberFormat="1" applyFont="1" applyFill="1" applyBorder="1"/>
    <xf numFmtId="182" fontId="1" fillId="0" borderId="18" xfId="0" applyNumberFormat="1" applyFont="1" applyBorder="1"/>
    <xf numFmtId="176" fontId="11" fillId="13" borderId="3" xfId="0" applyNumberFormat="1" applyFont="1" applyFill="1" applyBorder="1" applyAlignment="1">
      <alignment horizontal="center"/>
    </xf>
    <xf numFmtId="176" fontId="11" fillId="13" borderId="27" xfId="0" applyNumberFormat="1" applyFont="1" applyFill="1" applyBorder="1" applyAlignment="1">
      <alignment horizontal="center"/>
    </xf>
    <xf numFmtId="176" fontId="11" fillId="13" borderId="2" xfId="0" applyNumberFormat="1" applyFont="1" applyFill="1" applyBorder="1" applyAlignment="1">
      <alignment horizontal="center"/>
    </xf>
    <xf numFmtId="176" fontId="10" fillId="5" borderId="3" xfId="0" applyNumberFormat="1" applyFont="1" applyFill="1" applyBorder="1" applyAlignment="1">
      <alignment horizontal="center"/>
    </xf>
    <xf numFmtId="181" fontId="13" fillId="14" borderId="3" xfId="0" applyNumberFormat="1" applyFont="1" applyFill="1" applyBorder="1" applyAlignment="1">
      <alignment horizontal="right"/>
    </xf>
    <xf numFmtId="181" fontId="13" fillId="14" borderId="28" xfId="0" applyNumberFormat="1" applyFont="1" applyFill="1" applyBorder="1" applyAlignment="1">
      <alignment horizontal="right"/>
    </xf>
    <xf numFmtId="181" fontId="13" fillId="14" borderId="2" xfId="0" applyNumberFormat="1" applyFont="1" applyFill="1" applyBorder="1" applyAlignment="1">
      <alignment horizontal="right"/>
    </xf>
    <xf numFmtId="182" fontId="11" fillId="13" borderId="3" xfId="0" applyNumberFormat="1" applyFont="1" applyFill="1" applyBorder="1" applyAlignment="1">
      <alignment horizontal="right"/>
    </xf>
    <xf numFmtId="182" fontId="11" fillId="13" borderId="29" xfId="0" applyNumberFormat="1" applyFont="1" applyFill="1" applyBorder="1" applyAlignment="1">
      <alignment horizontal="right"/>
    </xf>
    <xf numFmtId="182" fontId="11" fillId="13" borderId="2" xfId="0" applyNumberFormat="1" applyFont="1" applyFill="1" applyBorder="1" applyAlignment="1">
      <alignment horizontal="right"/>
    </xf>
    <xf numFmtId="0" fontId="36" fillId="0" borderId="0" xfId="0" applyFont="1"/>
    <xf numFmtId="0" fontId="38" fillId="0" borderId="0" xfId="0" applyFont="1" applyAlignment="1">
      <alignment horizontal="center"/>
    </xf>
    <xf numFmtId="0" fontId="39" fillId="0" borderId="3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1" fillId="30" borderId="3" xfId="0" applyFont="1" applyFill="1" applyBorder="1" applyAlignment="1">
      <alignment horizontal="center"/>
    </xf>
    <xf numFmtId="0" fontId="42" fillId="30" borderId="3" xfId="0" applyFont="1" applyFill="1" applyBorder="1" applyAlignment="1">
      <alignment horizontal="center"/>
    </xf>
    <xf numFmtId="0" fontId="43" fillId="2" borderId="3" xfId="0" applyFont="1" applyFill="1" applyBorder="1"/>
    <xf numFmtId="0" fontId="44" fillId="2" borderId="3" xfId="0" applyFont="1" applyFill="1" applyBorder="1" applyAlignment="1">
      <alignment horizontal="center"/>
    </xf>
    <xf numFmtId="185" fontId="45" fillId="2" borderId="3" xfId="0" applyNumberFormat="1" applyFont="1" applyFill="1" applyBorder="1" applyAlignment="1">
      <alignment horizontal="center"/>
    </xf>
    <xf numFmtId="0" fontId="45" fillId="2" borderId="3" xfId="0" applyFont="1" applyFill="1" applyBorder="1" applyAlignment="1">
      <alignment horizontal="center"/>
    </xf>
    <xf numFmtId="0" fontId="38" fillId="30" borderId="3" xfId="0" applyFont="1" applyFill="1" applyBorder="1" applyAlignment="1">
      <alignment horizontal="center"/>
    </xf>
    <xf numFmtId="3" fontId="46" fillId="2" borderId="3" xfId="0" applyNumberFormat="1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3" fontId="44" fillId="2" borderId="3" xfId="0" applyNumberFormat="1" applyFont="1" applyFill="1" applyBorder="1" applyAlignment="1">
      <alignment horizontal="center"/>
    </xf>
    <xf numFmtId="0" fontId="9" fillId="0" borderId="0" xfId="0" applyFont="1"/>
    <xf numFmtId="3" fontId="45" fillId="2" borderId="3" xfId="0" applyNumberFormat="1" applyFont="1" applyFill="1" applyBorder="1" applyAlignment="1">
      <alignment horizontal="center"/>
    </xf>
    <xf numFmtId="0" fontId="10" fillId="0" borderId="0" xfId="0" applyFont="1"/>
    <xf numFmtId="3" fontId="46" fillId="8" borderId="3" xfId="0" applyNumberFormat="1" applyFont="1" applyFill="1" applyBorder="1" applyAlignment="1">
      <alignment horizontal="center"/>
    </xf>
    <xf numFmtId="176" fontId="47" fillId="0" borderId="0" xfId="0" applyNumberFormat="1" applyFont="1"/>
    <xf numFmtId="21" fontId="10" fillId="0" borderId="0" xfId="0" applyNumberFormat="1" applyFont="1"/>
    <xf numFmtId="0" fontId="11" fillId="0" borderId="0" xfId="0" applyFont="1"/>
    <xf numFmtId="176" fontId="48" fillId="3" borderId="3" xfId="0" applyNumberFormat="1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" xfId="0" applyFont="1" applyFill="1" applyBorder="1" applyAlignment="1">
      <alignment horizontal="center"/>
    </xf>
    <xf numFmtId="0" fontId="10" fillId="25" borderId="3" xfId="0" applyFont="1" applyFill="1" applyBorder="1" applyAlignment="1">
      <alignment horizontal="center"/>
    </xf>
    <xf numFmtId="3" fontId="49" fillId="11" borderId="3" xfId="0" applyNumberFormat="1" applyFont="1" applyFill="1" applyBorder="1" applyAlignment="1">
      <alignment horizontal="center"/>
    </xf>
    <xf numFmtId="177" fontId="9" fillId="2" borderId="3" xfId="0" applyNumberFormat="1" applyFont="1" applyFill="1" applyBorder="1"/>
    <xf numFmtId="177" fontId="10" fillId="0" borderId="3" xfId="0" applyNumberFormat="1" applyFont="1" applyBorder="1" applyAlignment="1">
      <alignment horizontal="center"/>
    </xf>
    <xf numFmtId="0" fontId="10" fillId="25" borderId="2" xfId="0" applyFont="1" applyFill="1" applyBorder="1" applyAlignment="1">
      <alignment horizontal="center"/>
    </xf>
    <xf numFmtId="3" fontId="38" fillId="31" borderId="17" xfId="0" applyNumberFormat="1" applyFont="1" applyFill="1" applyBorder="1" applyAlignment="1">
      <alignment horizontal="center"/>
    </xf>
    <xf numFmtId="0" fontId="10" fillId="25" borderId="1" xfId="0" applyFont="1" applyFill="1" applyBorder="1" applyAlignment="1">
      <alignment horizontal="center"/>
    </xf>
    <xf numFmtId="3" fontId="14" fillId="0" borderId="3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4" fontId="46" fillId="2" borderId="3" xfId="0" applyNumberFormat="1" applyFont="1" applyFill="1" applyBorder="1" applyAlignment="1">
      <alignment horizontal="center"/>
    </xf>
    <xf numFmtId="3" fontId="9" fillId="11" borderId="3" xfId="0" applyNumberFormat="1" applyFont="1" applyFill="1" applyBorder="1" applyAlignment="1">
      <alignment horizontal="center"/>
    </xf>
    <xf numFmtId="4" fontId="11" fillId="31" borderId="17" xfId="0" applyNumberFormat="1" applyFont="1" applyFill="1" applyBorder="1" applyAlignment="1">
      <alignment horizontal="center"/>
    </xf>
    <xf numFmtId="3" fontId="14" fillId="11" borderId="3" xfId="0" applyNumberFormat="1" applyFont="1" applyFill="1" applyBorder="1" applyAlignment="1">
      <alignment horizontal="right"/>
    </xf>
    <xf numFmtId="3" fontId="14" fillId="8" borderId="3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3" fontId="13" fillId="2" borderId="12" xfId="0" applyNumberFormat="1" applyFont="1" applyFill="1" applyBorder="1" applyAlignment="1">
      <alignment horizontal="right"/>
    </xf>
    <xf numFmtId="0" fontId="11" fillId="25" borderId="1" xfId="0" applyFont="1" applyFill="1" applyBorder="1" applyAlignment="1">
      <alignment horizontal="center"/>
    </xf>
    <xf numFmtId="3" fontId="14" fillId="3" borderId="3" xfId="0" applyNumberFormat="1" applyFont="1" applyFill="1" applyBorder="1" applyAlignment="1">
      <alignment horizontal="right"/>
    </xf>
    <xf numFmtId="3" fontId="13" fillId="0" borderId="19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0" fillId="11" borderId="3" xfId="0" applyNumberFormat="1" applyFont="1" applyFill="1" applyBorder="1" applyAlignment="1">
      <alignment horizontal="center"/>
    </xf>
    <xf numFmtId="3" fontId="14" fillId="2" borderId="3" xfId="0" applyNumberFormat="1" applyFont="1" applyFill="1" applyBorder="1" applyAlignment="1">
      <alignment horizontal="right"/>
    </xf>
    <xf numFmtId="3" fontId="13" fillId="2" borderId="26" xfId="0" applyNumberFormat="1" applyFont="1" applyFill="1" applyBorder="1" applyAlignment="1">
      <alignment horizontal="right"/>
    </xf>
    <xf numFmtId="3" fontId="13" fillId="0" borderId="30" xfId="0" applyNumberFormat="1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3" fontId="13" fillId="0" borderId="6" xfId="0" applyNumberFormat="1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13" fillId="8" borderId="3" xfId="0" applyFont="1" applyFill="1" applyBorder="1" applyAlignment="1">
      <alignment horizontal="right"/>
    </xf>
    <xf numFmtId="0" fontId="42" fillId="31" borderId="3" xfId="0" applyFont="1" applyFill="1" applyBorder="1" applyAlignment="1">
      <alignment horizontal="center"/>
    </xf>
    <xf numFmtId="3" fontId="39" fillId="31" borderId="3" xfId="0" applyNumberFormat="1" applyFont="1" applyFill="1" applyBorder="1" applyAlignment="1">
      <alignment horizontal="center"/>
    </xf>
    <xf numFmtId="0" fontId="39" fillId="31" borderId="3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3" fontId="13" fillId="24" borderId="1" xfId="0" applyNumberFormat="1" applyFont="1" applyFill="1" applyBorder="1" applyAlignment="1">
      <alignment horizontal="right"/>
    </xf>
    <xf numFmtId="3" fontId="13" fillId="24" borderId="12" xfId="0" applyNumberFormat="1" applyFont="1" applyFill="1" applyBorder="1" applyAlignment="1">
      <alignment horizontal="right"/>
    </xf>
    <xf numFmtId="3" fontId="14" fillId="24" borderId="3" xfId="0" applyNumberFormat="1" applyFont="1" applyFill="1" applyBorder="1" applyAlignment="1">
      <alignment horizontal="right"/>
    </xf>
    <xf numFmtId="0" fontId="51" fillId="3" borderId="0" xfId="0" applyFont="1" applyFill="1" applyAlignment="1">
      <alignment horizontal="center"/>
    </xf>
    <xf numFmtId="9" fontId="29" fillId="0" borderId="0" xfId="0" applyNumberFormat="1" applyFont="1" applyAlignment="1">
      <alignment horizontal="right"/>
    </xf>
    <xf numFmtId="9" fontId="29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1" fillId="4" borderId="1" xfId="0" applyNumberFormat="1" applyFont="1" applyFill="1" applyBorder="1"/>
    <xf numFmtId="3" fontId="11" fillId="4" borderId="12" xfId="0" applyNumberFormat="1" applyFont="1" applyFill="1" applyBorder="1"/>
    <xf numFmtId="3" fontId="11" fillId="4" borderId="3" xfId="0" applyNumberFormat="1" applyFont="1" applyFill="1" applyBorder="1"/>
    <xf numFmtId="3" fontId="13" fillId="32" borderId="1" xfId="0" applyNumberFormat="1" applyFont="1" applyFill="1" applyBorder="1" applyAlignment="1">
      <alignment horizontal="right"/>
    </xf>
    <xf numFmtId="0" fontId="29" fillId="21" borderId="3" xfId="0" applyFont="1" applyFill="1" applyBorder="1" applyAlignment="1">
      <alignment horizontal="center"/>
    </xf>
    <xf numFmtId="3" fontId="11" fillId="4" borderId="2" xfId="0" applyNumberFormat="1" applyFont="1" applyFill="1" applyBorder="1"/>
    <xf numFmtId="3" fontId="13" fillId="32" borderId="12" xfId="0" applyNumberFormat="1" applyFont="1" applyFill="1" applyBorder="1" applyAlignment="1">
      <alignment horizontal="right"/>
    </xf>
    <xf numFmtId="0" fontId="29" fillId="21" borderId="27" xfId="0" applyFont="1" applyFill="1" applyBorder="1" applyAlignment="1">
      <alignment horizontal="center"/>
    </xf>
    <xf numFmtId="0" fontId="29" fillId="21" borderId="2" xfId="0" applyFont="1" applyFill="1" applyBorder="1" applyAlignment="1">
      <alignment horizontal="center"/>
    </xf>
    <xf numFmtId="0" fontId="13" fillId="22" borderId="4" xfId="0" applyFont="1" applyFill="1" applyBorder="1" applyAlignment="1">
      <alignment horizontal="center"/>
    </xf>
    <xf numFmtId="3" fontId="10" fillId="3" borderId="3" xfId="0" applyNumberFormat="1" applyFont="1" applyFill="1" applyBorder="1" applyAlignment="1">
      <alignment horizontal="right"/>
    </xf>
    <xf numFmtId="3" fontId="10" fillId="0" borderId="28" xfId="0" applyNumberFormat="1" applyFont="1" applyBorder="1"/>
    <xf numFmtId="3" fontId="25" fillId="0" borderId="2" xfId="0" applyNumberFormat="1" applyFont="1" applyBorder="1"/>
    <xf numFmtId="3" fontId="13" fillId="0" borderId="2" xfId="0" applyNumberFormat="1" applyFont="1" applyBorder="1"/>
    <xf numFmtId="3" fontId="13" fillId="28" borderId="3" xfId="0" applyNumberFormat="1" applyFont="1" applyFill="1" applyBorder="1"/>
    <xf numFmtId="3" fontId="13" fillId="30" borderId="3" xfId="0" applyNumberFormat="1" applyFont="1" applyFill="1" applyBorder="1"/>
    <xf numFmtId="0" fontId="13" fillId="22" borderId="0" xfId="0" applyFont="1" applyFill="1" applyAlignment="1">
      <alignment horizontal="center"/>
    </xf>
    <xf numFmtId="3" fontId="10" fillId="3" borderId="1" xfId="0" applyNumberFormat="1" applyFont="1" applyFill="1" applyBorder="1" applyAlignment="1">
      <alignment horizontal="right"/>
    </xf>
    <xf numFmtId="3" fontId="10" fillId="3" borderId="28" xfId="0" applyNumberFormat="1" applyFont="1" applyFill="1" applyBorder="1"/>
    <xf numFmtId="3" fontId="10" fillId="0" borderId="2" xfId="0" applyNumberFormat="1" applyFont="1" applyBorder="1"/>
    <xf numFmtId="1" fontId="15" fillId="0" borderId="0" xfId="0" applyNumberFormat="1" applyFont="1" applyAlignment="1">
      <alignment horizontal="center"/>
    </xf>
    <xf numFmtId="3" fontId="10" fillId="0" borderId="7" xfId="0" applyNumberFormat="1" applyFont="1" applyBorder="1"/>
    <xf numFmtId="0" fontId="13" fillId="11" borderId="3" xfId="0" applyFont="1" applyFill="1" applyBorder="1" applyAlignment="1">
      <alignment horizontal="right"/>
    </xf>
    <xf numFmtId="0" fontId="13" fillId="22" borderId="18" xfId="0" applyFont="1" applyFill="1" applyBorder="1" applyAlignment="1">
      <alignment horizontal="center"/>
    </xf>
    <xf numFmtId="0" fontId="5" fillId="0" borderId="1" xfId="0" applyFont="1" applyBorder="1"/>
    <xf numFmtId="0" fontId="13" fillId="1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right"/>
    </xf>
    <xf numFmtId="3" fontId="10" fillId="0" borderId="28" xfId="0" applyNumberFormat="1" applyFont="1" applyBorder="1" applyAlignment="1">
      <alignment horizontal="right"/>
    </xf>
    <xf numFmtId="3" fontId="11" fillId="4" borderId="19" xfId="0" applyNumberFormat="1" applyFont="1" applyFill="1" applyBorder="1"/>
    <xf numFmtId="3" fontId="10" fillId="0" borderId="2" xfId="0" applyNumberFormat="1" applyFont="1" applyBorder="1" applyAlignment="1">
      <alignment horizontal="right"/>
    </xf>
    <xf numFmtId="3" fontId="13" fillId="8" borderId="1" xfId="0" applyNumberFormat="1" applyFont="1" applyFill="1" applyBorder="1"/>
    <xf numFmtId="3" fontId="14" fillId="32" borderId="3" xfId="0" applyNumberFormat="1" applyFont="1" applyFill="1" applyBorder="1" applyAlignment="1">
      <alignment horizontal="right"/>
    </xf>
    <xf numFmtId="176" fontId="4" fillId="2" borderId="0" xfId="0" applyNumberFormat="1" applyFont="1" applyFill="1"/>
    <xf numFmtId="3" fontId="13" fillId="24" borderId="3" xfId="0" applyNumberFormat="1" applyFont="1" applyFill="1" applyBorder="1" applyAlignment="1">
      <alignment horizontal="right"/>
    </xf>
    <xf numFmtId="0" fontId="18" fillId="8" borderId="0" xfId="0" applyFont="1" applyFill="1" applyAlignment="1">
      <alignment horizontal="center"/>
    </xf>
    <xf numFmtId="3" fontId="13" fillId="3" borderId="2" xfId="0" applyNumberFormat="1" applyFont="1" applyFill="1" applyBorder="1" applyAlignment="1">
      <alignment horizontal="right"/>
    </xf>
    <xf numFmtId="0" fontId="29" fillId="26" borderId="1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3" fillId="12" borderId="9" xfId="0" applyFont="1" applyFill="1" applyBorder="1" applyAlignment="1">
      <alignment horizontal="center"/>
    </xf>
    <xf numFmtId="0" fontId="29" fillId="26" borderId="3" xfId="0" applyFont="1" applyFill="1" applyBorder="1" applyAlignment="1">
      <alignment horizontal="center"/>
    </xf>
    <xf numFmtId="3" fontId="9" fillId="0" borderId="0" xfId="0" applyNumberFormat="1" applyFont="1"/>
    <xf numFmtId="3" fontId="13" fillId="0" borderId="28" xfId="0" applyNumberFormat="1" applyFont="1" applyBorder="1"/>
    <xf numFmtId="0" fontId="25" fillId="0" borderId="0" xfId="0" applyFont="1"/>
    <xf numFmtId="3" fontId="11" fillId="25" borderId="1" xfId="0" applyNumberFormat="1" applyFont="1" applyFill="1" applyBorder="1" applyAlignment="1">
      <alignment horizontal="center"/>
    </xf>
    <xf numFmtId="3" fontId="13" fillId="8" borderId="1" xfId="0" applyNumberFormat="1" applyFont="1" applyFill="1" applyBorder="1" applyAlignment="1">
      <alignment horizontal="center"/>
    </xf>
    <xf numFmtId="0" fontId="13" fillId="25" borderId="5" xfId="0" applyFont="1" applyFill="1" applyBorder="1" applyAlignment="1">
      <alignment horizontal="center"/>
    </xf>
    <xf numFmtId="3" fontId="29" fillId="8" borderId="3" xfId="0" applyNumberFormat="1" applyFont="1" applyFill="1" applyBorder="1" applyAlignment="1">
      <alignment horizontal="right"/>
    </xf>
    <xf numFmtId="3" fontId="13" fillId="6" borderId="12" xfId="0" applyNumberFormat="1" applyFont="1" applyFill="1" applyBorder="1" applyAlignment="1">
      <alignment horizontal="center"/>
    </xf>
    <xf numFmtId="3" fontId="13" fillId="6" borderId="1" xfId="0" applyNumberFormat="1" applyFont="1" applyFill="1" applyBorder="1" applyAlignment="1">
      <alignment horizontal="center"/>
    </xf>
    <xf numFmtId="3" fontId="29" fillId="8" borderId="28" xfId="0" applyNumberFormat="1" applyFont="1" applyFill="1" applyBorder="1" applyAlignment="1">
      <alignment horizontal="right"/>
    </xf>
    <xf numFmtId="3" fontId="29" fillId="8" borderId="2" xfId="0" applyNumberFormat="1" applyFont="1" applyFill="1" applyBorder="1" applyAlignment="1">
      <alignment horizontal="right"/>
    </xf>
    <xf numFmtId="3" fontId="13" fillId="6" borderId="3" xfId="0" applyNumberFormat="1" applyFont="1" applyFill="1" applyBorder="1" applyAlignment="1">
      <alignment horizontal="center"/>
    </xf>
    <xf numFmtId="3" fontId="13" fillId="28" borderId="3" xfId="0" applyNumberFormat="1" applyFont="1" applyFill="1" applyBorder="1" applyAlignment="1">
      <alignment horizontal="right"/>
    </xf>
    <xf numFmtId="3" fontId="10" fillId="25" borderId="1" xfId="0" applyNumberFormat="1" applyFont="1" applyFill="1" applyBorder="1" applyAlignment="1">
      <alignment horizontal="center"/>
    </xf>
    <xf numFmtId="3" fontId="29" fillId="30" borderId="3" xfId="0" applyNumberFormat="1" applyFont="1" applyFill="1" applyBorder="1" applyAlignment="1">
      <alignment horizontal="right"/>
    </xf>
    <xf numFmtId="3" fontId="13" fillId="0" borderId="12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13" fillId="25" borderId="17" xfId="0" applyFont="1" applyFill="1" applyBorder="1" applyAlignment="1">
      <alignment horizontal="center"/>
    </xf>
    <xf numFmtId="3" fontId="29" fillId="28" borderId="3" xfId="0" applyNumberFormat="1" applyFont="1" applyFill="1" applyBorder="1" applyAlignment="1">
      <alignment horizontal="right"/>
    </xf>
    <xf numFmtId="3" fontId="13" fillId="8" borderId="12" xfId="0" applyNumberFormat="1" applyFont="1" applyFill="1" applyBorder="1" applyAlignment="1">
      <alignment horizontal="center"/>
    </xf>
    <xf numFmtId="3" fontId="29" fillId="21" borderId="28" xfId="0" applyNumberFormat="1" applyFont="1" applyFill="1" applyBorder="1" applyAlignment="1">
      <alignment horizontal="right"/>
    </xf>
    <xf numFmtId="3" fontId="13" fillId="0" borderId="3" xfId="0" applyNumberFormat="1" applyFont="1" applyBorder="1" applyAlignment="1">
      <alignment horizontal="center"/>
    </xf>
    <xf numFmtId="3" fontId="29" fillId="21" borderId="29" xfId="0" applyNumberFormat="1" applyFont="1" applyFill="1" applyBorder="1" applyAlignment="1">
      <alignment horizontal="right"/>
    </xf>
    <xf numFmtId="3" fontId="11" fillId="26" borderId="1" xfId="0" applyNumberFormat="1" applyFont="1" applyFill="1" applyBorder="1"/>
    <xf numFmtId="3" fontId="11" fillId="26" borderId="19" xfId="0" applyNumberFormat="1" applyFont="1" applyFill="1" applyBorder="1"/>
    <xf numFmtId="3" fontId="11" fillId="26" borderId="3" xfId="0" applyNumberFormat="1" applyFont="1" applyFill="1" applyBorder="1"/>
    <xf numFmtId="180" fontId="29" fillId="0" borderId="0" xfId="0" applyNumberFormat="1" applyFont="1"/>
    <xf numFmtId="0" fontId="52" fillId="0" borderId="0" xfId="0" applyFont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2" xfId="0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right"/>
    </xf>
    <xf numFmtId="3" fontId="13" fillId="0" borderId="28" xfId="0" applyNumberFormat="1" applyFont="1" applyBorder="1" applyAlignment="1">
      <alignment horizontal="right"/>
    </xf>
    <xf numFmtId="3" fontId="13" fillId="8" borderId="3" xfId="0" applyNumberFormat="1" applyFont="1" applyFill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3" fontId="10" fillId="0" borderId="12" xfId="0" applyNumberFormat="1" applyFont="1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3" fontId="10" fillId="28" borderId="3" xfId="0" applyNumberFormat="1" applyFont="1" applyFill="1" applyBorder="1" applyAlignment="1">
      <alignment horizontal="center"/>
    </xf>
    <xf numFmtId="3" fontId="10" fillId="28" borderId="2" xfId="0" applyNumberFormat="1" applyFont="1" applyFill="1" applyBorder="1" applyAlignment="1">
      <alignment horizontal="center"/>
    </xf>
    <xf numFmtId="3" fontId="13" fillId="3" borderId="28" xfId="0" applyNumberFormat="1" applyFont="1" applyFill="1" applyBorder="1" applyAlignment="1">
      <alignment horizontal="right"/>
    </xf>
    <xf numFmtId="3" fontId="10" fillId="28" borderId="15" xfId="0" applyNumberFormat="1" applyFont="1" applyFill="1" applyBorder="1" applyAlignment="1">
      <alignment horizontal="center"/>
    </xf>
    <xf numFmtId="3" fontId="10" fillId="28" borderId="17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26" fillId="22" borderId="14" xfId="0" applyFont="1" applyFill="1" applyBorder="1"/>
    <xf numFmtId="3" fontId="29" fillId="22" borderId="29" xfId="0" applyNumberFormat="1" applyFont="1" applyFill="1" applyBorder="1" applyAlignment="1">
      <alignment horizontal="right"/>
    </xf>
    <xf numFmtId="3" fontId="29" fillId="22" borderId="7" xfId="0" applyNumberFormat="1" applyFont="1" applyFill="1" applyBorder="1" applyAlignment="1">
      <alignment horizontal="right"/>
    </xf>
    <xf numFmtId="0" fontId="53" fillId="0" borderId="0" xfId="0" applyFont="1"/>
    <xf numFmtId="0" fontId="53" fillId="0" borderId="0" xfId="0" applyFont="1" applyAlignment="1">
      <alignment horizontal="right"/>
    </xf>
    <xf numFmtId="9" fontId="53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right"/>
    </xf>
    <xf numFmtId="0" fontId="29" fillId="6" borderId="0" xfId="0" applyFont="1" applyFill="1" applyAlignment="1">
      <alignment horizontal="center"/>
    </xf>
    <xf numFmtId="3" fontId="10" fillId="0" borderId="0" xfId="0" applyNumberFormat="1" applyFont="1"/>
    <xf numFmtId="3" fontId="10" fillId="0" borderId="31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3" fontId="5" fillId="8" borderId="0" xfId="0" applyNumberFormat="1" applyFont="1" applyFill="1"/>
    <xf numFmtId="0" fontId="13" fillId="12" borderId="4" xfId="0" applyFont="1" applyFill="1" applyBorder="1" applyAlignment="1">
      <alignment horizontal="center"/>
    </xf>
    <xf numFmtId="3" fontId="21" fillId="8" borderId="0" xfId="0" applyNumberFormat="1" applyFont="1" applyFill="1" applyAlignment="1">
      <alignment horizontal="center"/>
    </xf>
    <xf numFmtId="0" fontId="13" fillId="12" borderId="18" xfId="0" applyFont="1" applyFill="1" applyBorder="1" applyAlignment="1">
      <alignment horizontal="center"/>
    </xf>
    <xf numFmtId="0" fontId="26" fillId="6" borderId="14" xfId="0" applyFont="1" applyFill="1" applyBorder="1"/>
    <xf numFmtId="3" fontId="29" fillId="6" borderId="3" xfId="0" applyNumberFormat="1" applyFont="1" applyFill="1" applyBorder="1" applyAlignment="1">
      <alignment horizontal="right"/>
    </xf>
    <xf numFmtId="3" fontId="29" fillId="6" borderId="0" xfId="0" applyNumberFormat="1" applyFont="1" applyFill="1" applyAlignment="1">
      <alignment horizontal="right"/>
    </xf>
    <xf numFmtId="3" fontId="29" fillId="6" borderId="2" xfId="0" applyNumberFormat="1" applyFont="1" applyFill="1" applyBorder="1" applyAlignment="1">
      <alignment horizontal="right"/>
    </xf>
    <xf numFmtId="0" fontId="54" fillId="2" borderId="0" xfId="0" applyFont="1" applyFill="1"/>
    <xf numFmtId="181" fontId="53" fillId="0" borderId="0" xfId="0" applyNumberFormat="1" applyFont="1" applyAlignment="1">
      <alignment horizontal="right"/>
    </xf>
    <xf numFmtId="3" fontId="11" fillId="6" borderId="1" xfId="0" applyNumberFormat="1" applyFont="1" applyFill="1" applyBorder="1"/>
    <xf numFmtId="3" fontId="11" fillId="6" borderId="19" xfId="0" applyNumberFormat="1" applyFont="1" applyFill="1" applyBorder="1"/>
    <xf numFmtId="3" fontId="11" fillId="6" borderId="3" xfId="0" applyNumberFormat="1" applyFont="1" applyFill="1" applyBorder="1"/>
    <xf numFmtId="0" fontId="29" fillId="6" borderId="27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181" fontId="13" fillId="3" borderId="1" xfId="0" applyNumberFormat="1" applyFont="1" applyFill="1" applyBorder="1"/>
    <xf numFmtId="181" fontId="13" fillId="8" borderId="1" xfId="0" applyNumberFormat="1" applyFont="1" applyFill="1" applyBorder="1"/>
    <xf numFmtId="181" fontId="13" fillId="8" borderId="12" xfId="0" applyNumberFormat="1" applyFont="1" applyFill="1" applyBorder="1"/>
    <xf numFmtId="0" fontId="55" fillId="33" borderId="3" xfId="0" applyFont="1" applyFill="1" applyBorder="1" applyAlignment="1">
      <alignment horizontal="right" vertical="top"/>
    </xf>
    <xf numFmtId="0" fontId="56" fillId="2" borderId="32" xfId="0" applyFont="1" applyFill="1" applyBorder="1"/>
    <xf numFmtId="1" fontId="56" fillId="2" borderId="32" xfId="0" applyNumberFormat="1" applyFont="1" applyFill="1" applyBorder="1"/>
    <xf numFmtId="181" fontId="13" fillId="0" borderId="1" xfId="0" applyNumberFormat="1" applyFont="1" applyBorder="1"/>
    <xf numFmtId="0" fontId="56" fillId="2" borderId="32" xfId="0" applyFont="1" applyFill="1" applyBorder="1" applyAlignment="1">
      <alignment horizontal="center"/>
    </xf>
    <xf numFmtId="3" fontId="9" fillId="8" borderId="0" xfId="0" applyNumberFormat="1" applyFont="1" applyFill="1"/>
    <xf numFmtId="184" fontId="5" fillId="0" borderId="0" xfId="0" applyNumberFormat="1" applyFont="1"/>
    <xf numFmtId="0" fontId="57" fillId="2" borderId="33" xfId="0" applyFont="1" applyFill="1" applyBorder="1" applyAlignment="1">
      <alignment horizontal="left" vertical="top"/>
    </xf>
    <xf numFmtId="1" fontId="57" fillId="2" borderId="33" xfId="0" applyNumberFormat="1" applyFont="1" applyFill="1" applyBorder="1" applyAlignment="1">
      <alignment horizontal="left" vertical="top"/>
    </xf>
    <xf numFmtId="11" fontId="57" fillId="2" borderId="33" xfId="0" applyNumberFormat="1" applyFont="1" applyFill="1" applyBorder="1" applyAlignment="1">
      <alignment horizontal="center" vertical="top"/>
    </xf>
    <xf numFmtId="0" fontId="57" fillId="2" borderId="33" xfId="0" applyFont="1" applyFill="1" applyBorder="1" applyAlignment="1">
      <alignment horizontal="center" vertical="top"/>
    </xf>
    <xf numFmtId="0" fontId="57" fillId="2" borderId="34" xfId="0" applyFont="1" applyFill="1" applyBorder="1" applyAlignment="1">
      <alignment vertical="top"/>
    </xf>
    <xf numFmtId="0" fontId="57" fillId="2" borderId="35" xfId="0" applyFont="1" applyFill="1" applyBorder="1" applyAlignment="1">
      <alignment vertical="top"/>
    </xf>
    <xf numFmtId="181" fontId="10" fillId="0" borderId="1" xfId="0" applyNumberFormat="1" applyFont="1" applyBorder="1"/>
    <xf numFmtId="0" fontId="15" fillId="0" borderId="0" xfId="0" applyFont="1" applyAlignment="1">
      <alignment horizontal="right"/>
    </xf>
    <xf numFmtId="181" fontId="10" fillId="8" borderId="1" xfId="0" applyNumberFormat="1" applyFont="1" applyFill="1" applyBorder="1"/>
    <xf numFmtId="181" fontId="10" fillId="8" borderId="12" xfId="0" applyNumberFormat="1" applyFont="1" applyFill="1" applyBorder="1"/>
    <xf numFmtId="0" fontId="15" fillId="2" borderId="36" xfId="0" applyFont="1" applyFill="1" applyBorder="1"/>
    <xf numFmtId="0" fontId="57" fillId="2" borderId="0" xfId="0" applyFont="1" applyFill="1" applyAlignment="1">
      <alignment horizontal="left"/>
    </xf>
    <xf numFmtId="0" fontId="5" fillId="34" borderId="0" xfId="0" applyFont="1" applyFill="1"/>
    <xf numFmtId="181" fontId="13" fillId="8" borderId="3" xfId="0" applyNumberFormat="1" applyFont="1" applyFill="1" applyBorder="1"/>
    <xf numFmtId="181" fontId="11" fillId="6" borderId="1" xfId="0" applyNumberFormat="1" applyFont="1" applyFill="1" applyBorder="1"/>
    <xf numFmtId="181" fontId="11" fillId="6" borderId="19" xfId="0" applyNumberFormat="1" applyFont="1" applyFill="1" applyBorder="1"/>
    <xf numFmtId="181" fontId="11" fillId="6" borderId="3" xfId="0" applyNumberFormat="1" applyFont="1" applyFill="1" applyBorder="1"/>
    <xf numFmtId="181" fontId="10" fillId="8" borderId="3" xfId="0" applyNumberFormat="1" applyFont="1" applyFill="1" applyBorder="1"/>
    <xf numFmtId="3" fontId="29" fillId="6" borderId="29" xfId="0" applyNumberFormat="1" applyFont="1" applyFill="1" applyBorder="1" applyAlignment="1">
      <alignment horizontal="right"/>
    </xf>
    <xf numFmtId="0" fontId="53" fillId="0" borderId="0" xfId="0" applyFont="1" applyAlignment="1">
      <alignment horizontal="center"/>
    </xf>
    <xf numFmtId="0" fontId="13" fillId="22" borderId="4" xfId="0" applyFont="1" applyFill="1" applyBorder="1" applyAlignment="1">
      <alignment horizontal="center" vertical="center"/>
    </xf>
    <xf numFmtId="0" fontId="13" fillId="22" borderId="0" xfId="0" applyFont="1" applyFill="1" applyAlignment="1">
      <alignment horizontal="center" vertical="center"/>
    </xf>
    <xf numFmtId="0" fontId="11" fillId="6" borderId="3" xfId="0" applyFont="1" applyFill="1" applyBorder="1"/>
    <xf numFmtId="181" fontId="29" fillId="14" borderId="1" xfId="0" applyNumberFormat="1" applyFont="1" applyFill="1" applyBorder="1" applyAlignment="1">
      <alignment horizontal="right"/>
    </xf>
    <xf numFmtId="0" fontId="13" fillId="22" borderId="18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181" fontId="13" fillId="14" borderId="15" xfId="0" applyNumberFormat="1" applyFont="1" applyFill="1" applyBorder="1" applyAlignment="1">
      <alignment horizontal="right"/>
    </xf>
    <xf numFmtId="181" fontId="13" fillId="14" borderId="37" xfId="0" applyNumberFormat="1" applyFont="1" applyFill="1" applyBorder="1" applyAlignment="1">
      <alignment horizontal="right"/>
    </xf>
    <xf numFmtId="181" fontId="13" fillId="14" borderId="17" xfId="0" applyNumberFormat="1" applyFont="1" applyFill="1" applyBorder="1" applyAlignment="1">
      <alignment horizontal="right"/>
    </xf>
    <xf numFmtId="181" fontId="29" fillId="14" borderId="14" xfId="0" applyNumberFormat="1" applyFont="1" applyFill="1" applyBorder="1" applyAlignment="1">
      <alignment horizontal="right"/>
    </xf>
    <xf numFmtId="0" fontId="24" fillId="20" borderId="3" xfId="0" applyFont="1" applyFill="1" applyBorder="1" applyAlignment="1">
      <alignment horizontal="center"/>
    </xf>
    <xf numFmtId="185" fontId="35" fillId="8" borderId="3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0" fillId="0" borderId="0" xfId="0" applyFont="1"/>
    <xf numFmtId="0" fontId="11" fillId="30" borderId="3" xfId="0" applyFont="1" applyFill="1" applyBorder="1" applyAlignment="1">
      <alignment horizontal="center"/>
    </xf>
    <xf numFmtId="185" fontId="5" fillId="0" borderId="0" xfId="0" applyNumberFormat="1" applyFont="1"/>
    <xf numFmtId="0" fontId="35" fillId="8" borderId="0" xfId="0" applyFont="1" applyFill="1" applyAlignment="1">
      <alignment horizontal="center"/>
    </xf>
    <xf numFmtId="3" fontId="35" fillId="8" borderId="0" xfId="0" applyNumberFormat="1" applyFont="1" applyFill="1" applyAlignment="1">
      <alignment horizontal="center"/>
    </xf>
    <xf numFmtId="183" fontId="35" fillId="8" borderId="0" xfId="0" applyNumberFormat="1" applyFont="1" applyFill="1" applyAlignment="1">
      <alignment horizontal="center"/>
    </xf>
    <xf numFmtId="0" fontId="58" fillId="34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3" fontId="9" fillId="8" borderId="3" xfId="0" applyNumberFormat="1" applyFont="1" applyFill="1" applyBorder="1" applyAlignment="1">
      <alignment horizontal="right"/>
    </xf>
    <xf numFmtId="0" fontId="59" fillId="30" borderId="8" xfId="0" applyFont="1" applyFill="1" applyBorder="1" applyAlignment="1">
      <alignment horizontal="center"/>
    </xf>
    <xf numFmtId="0" fontId="59" fillId="35" borderId="8" xfId="0" applyFont="1" applyFill="1" applyBorder="1" applyAlignment="1">
      <alignment horizontal="center"/>
    </xf>
    <xf numFmtId="0" fontId="9" fillId="36" borderId="3" xfId="0" applyFont="1" applyFill="1" applyBorder="1" applyAlignment="1">
      <alignment horizontal="center"/>
    </xf>
    <xf numFmtId="0" fontId="50" fillId="36" borderId="3" xfId="0" applyFont="1" applyFill="1" applyBorder="1" applyAlignment="1">
      <alignment horizontal="center"/>
    </xf>
    <xf numFmtId="186" fontId="50" fillId="36" borderId="3" xfId="0" applyNumberFormat="1" applyFont="1" applyFill="1" applyBorder="1" applyAlignment="1">
      <alignment horizontal="center"/>
    </xf>
    <xf numFmtId="4" fontId="9" fillId="36" borderId="3" xfId="0" applyNumberFormat="1" applyFont="1" applyFill="1" applyBorder="1" applyAlignment="1">
      <alignment horizontal="center"/>
    </xf>
    <xf numFmtId="180" fontId="9" fillId="36" borderId="3" xfId="0" applyNumberFormat="1" applyFont="1" applyFill="1" applyBorder="1" applyAlignment="1">
      <alignment horizontal="center"/>
    </xf>
    <xf numFmtId="0" fontId="50" fillId="8" borderId="3" xfId="0" applyFont="1" applyFill="1" applyBorder="1" applyAlignment="1">
      <alignment horizontal="center"/>
    </xf>
    <xf numFmtId="186" fontId="50" fillId="8" borderId="3" xfId="0" applyNumberFormat="1" applyFont="1" applyFill="1" applyBorder="1" applyAlignment="1">
      <alignment horizontal="center"/>
    </xf>
    <xf numFmtId="187" fontId="9" fillId="8" borderId="3" xfId="0" applyNumberFormat="1" applyFont="1" applyFill="1" applyBorder="1" applyAlignment="1">
      <alignment horizontal="center"/>
    </xf>
    <xf numFmtId="4" fontId="9" fillId="8" borderId="3" xfId="0" applyNumberFormat="1" applyFont="1" applyFill="1" applyBorder="1" applyAlignment="1">
      <alignment horizontal="center"/>
    </xf>
    <xf numFmtId="180" fontId="9" fillId="8" borderId="3" xfId="0" applyNumberFormat="1" applyFont="1" applyFill="1" applyBorder="1" applyAlignment="1">
      <alignment horizontal="center"/>
    </xf>
    <xf numFmtId="1" fontId="13" fillId="0" borderId="0" xfId="0" applyNumberFormat="1" applyFont="1" applyAlignment="1">
      <alignment horizontal="left"/>
    </xf>
    <xf numFmtId="187" fontId="9" fillId="36" borderId="3" xfId="0" applyNumberFormat="1" applyFont="1" applyFill="1" applyBorder="1" applyAlignment="1">
      <alignment horizontal="center"/>
    </xf>
    <xf numFmtId="1" fontId="13" fillId="0" borderId="0" xfId="0" applyNumberFormat="1" applyFont="1" applyAlignment="1">
      <alignment horizontal="right"/>
    </xf>
    <xf numFmtId="0" fontId="9" fillId="37" borderId="3" xfId="0" applyFont="1" applyFill="1" applyBorder="1" applyAlignment="1">
      <alignment horizontal="center"/>
    </xf>
    <xf numFmtId="1" fontId="50" fillId="37" borderId="3" xfId="0" applyNumberFormat="1" applyFont="1" applyFill="1" applyBorder="1" applyAlignment="1">
      <alignment horizontal="center"/>
    </xf>
    <xf numFmtId="0" fontId="50" fillId="37" borderId="3" xfId="0" applyFont="1" applyFill="1" applyBorder="1" applyAlignment="1">
      <alignment horizontal="center"/>
    </xf>
    <xf numFmtId="186" fontId="50" fillId="37" borderId="3" xfId="0" applyNumberFormat="1" applyFont="1" applyFill="1" applyBorder="1" applyAlignment="1">
      <alignment horizontal="center"/>
    </xf>
    <xf numFmtId="187" fontId="9" fillId="37" borderId="3" xfId="0" applyNumberFormat="1" applyFont="1" applyFill="1" applyBorder="1" applyAlignment="1">
      <alignment horizontal="center"/>
    </xf>
    <xf numFmtId="4" fontId="9" fillId="37" borderId="3" xfId="0" applyNumberFormat="1" applyFont="1" applyFill="1" applyBorder="1" applyAlignment="1">
      <alignment horizontal="center"/>
    </xf>
    <xf numFmtId="180" fontId="9" fillId="37" borderId="3" xfId="0" applyNumberFormat="1" applyFont="1" applyFill="1" applyBorder="1" applyAlignment="1">
      <alignment horizontal="center"/>
    </xf>
    <xf numFmtId="186" fontId="9" fillId="8" borderId="3" xfId="0" applyNumberFormat="1" applyFont="1" applyFill="1" applyBorder="1" applyAlignment="1">
      <alignment horizontal="center"/>
    </xf>
    <xf numFmtId="186" fontId="9" fillId="37" borderId="3" xfId="0" applyNumberFormat="1" applyFont="1" applyFill="1" applyBorder="1" applyAlignment="1">
      <alignment horizontal="center"/>
    </xf>
    <xf numFmtId="176" fontId="10" fillId="9" borderId="3" xfId="0" applyNumberFormat="1" applyFont="1" applyFill="1" applyBorder="1" applyAlignment="1">
      <alignment horizontal="center"/>
    </xf>
    <xf numFmtId="0" fontId="9" fillId="38" borderId="3" xfId="0" applyFont="1" applyFill="1" applyBorder="1" applyAlignment="1">
      <alignment horizontal="center"/>
    </xf>
    <xf numFmtId="0" fontId="13" fillId="38" borderId="3" xfId="0" applyFont="1" applyFill="1" applyBorder="1" applyAlignment="1">
      <alignment horizontal="center"/>
    </xf>
    <xf numFmtId="0" fontId="10" fillId="38" borderId="3" xfId="0" applyFont="1" applyFill="1" applyBorder="1" applyAlignment="1">
      <alignment horizontal="center"/>
    </xf>
    <xf numFmtId="186" fontId="50" fillId="38" borderId="3" xfId="0" applyNumberFormat="1" applyFont="1" applyFill="1" applyBorder="1" applyAlignment="1">
      <alignment horizontal="center"/>
    </xf>
    <xf numFmtId="4" fontId="9" fillId="38" borderId="3" xfId="0" applyNumberFormat="1" applyFont="1" applyFill="1" applyBorder="1" applyAlignment="1">
      <alignment horizontal="center"/>
    </xf>
    <xf numFmtId="180" fontId="9" fillId="38" borderId="3" xfId="0" applyNumberFormat="1" applyFont="1" applyFill="1" applyBorder="1" applyAlignment="1">
      <alignment horizontal="center"/>
    </xf>
    <xf numFmtId="1" fontId="60" fillId="0" borderId="3" xfId="0" applyNumberFormat="1" applyFont="1" applyBorder="1" applyAlignment="1">
      <alignment horizontal="center"/>
    </xf>
    <xf numFmtId="176" fontId="10" fillId="11" borderId="2" xfId="0" applyNumberFormat="1" applyFont="1" applyFill="1" applyBorder="1" applyAlignment="1">
      <alignment horizontal="center" vertical="center"/>
    </xf>
    <xf numFmtId="3" fontId="11" fillId="4" borderId="3" xfId="0" applyNumberFormat="1" applyFont="1" applyFill="1" applyBorder="1" applyAlignment="1">
      <alignment horizontal="right"/>
    </xf>
    <xf numFmtId="1" fontId="14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1" fillId="26" borderId="0" xfId="0" applyFont="1" applyFill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62" fillId="26" borderId="0" xfId="0" applyFont="1" applyFill="1" applyAlignment="1">
      <alignment horizontal="center" vertical="center"/>
    </xf>
    <xf numFmtId="3" fontId="63" fillId="39" borderId="0" xfId="0" applyNumberFormat="1" applyFont="1" applyFill="1" applyAlignment="1">
      <alignment horizontal="center" vertical="center"/>
    </xf>
    <xf numFmtId="3" fontId="64" fillId="40" borderId="0" xfId="0" applyNumberFormat="1" applyFont="1" applyFill="1" applyAlignment="1">
      <alignment horizontal="center" vertical="center"/>
    </xf>
    <xf numFmtId="3" fontId="64" fillId="34" borderId="0" xfId="0" applyNumberFormat="1" applyFont="1" applyFill="1" applyAlignment="1">
      <alignment horizontal="center" vertical="center"/>
    </xf>
    <xf numFmtId="4" fontId="64" fillId="40" borderId="0" xfId="0" applyNumberFormat="1" applyFont="1" applyFill="1" applyAlignment="1">
      <alignment horizontal="center" vertical="center"/>
    </xf>
    <xf numFmtId="0" fontId="65" fillId="0" borderId="0" xfId="0" applyFont="1"/>
    <xf numFmtId="0" fontId="5" fillId="3" borderId="0" xfId="0" applyFont="1" applyFill="1" applyAlignment="1">
      <alignment horizontal="center"/>
    </xf>
    <xf numFmtId="0" fontId="5" fillId="38" borderId="3" xfId="0" applyFont="1" applyFill="1" applyBorder="1"/>
    <xf numFmtId="0" fontId="5" fillId="38" borderId="3" xfId="0" applyFont="1" applyFill="1" applyBorder="1" applyAlignment="1">
      <alignment horizontal="center"/>
    </xf>
    <xf numFmtId="3" fontId="5" fillId="38" borderId="3" xfId="0" applyNumberFormat="1" applyFont="1" applyFill="1" applyBorder="1" applyAlignment="1">
      <alignment horizontal="center"/>
    </xf>
    <xf numFmtId="1" fontId="5" fillId="38" borderId="3" xfId="0" applyNumberFormat="1" applyFont="1" applyFill="1" applyBorder="1" applyAlignment="1">
      <alignment horizontal="center"/>
    </xf>
    <xf numFmtId="188" fontId="5" fillId="0" borderId="3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66" fillId="26" borderId="0" xfId="0" applyNumberFormat="1" applyFont="1" applyFill="1" applyAlignment="1">
      <alignment horizontal="center" vertical="center"/>
    </xf>
    <xf numFmtId="0" fontId="34" fillId="29" borderId="38" xfId="0" applyFont="1" applyFill="1" applyBorder="1" applyAlignment="1">
      <alignment horizontal="center"/>
    </xf>
    <xf numFmtId="3" fontId="67" fillId="29" borderId="0" xfId="0" applyNumberFormat="1" applyFont="1" applyFill="1" applyAlignment="1">
      <alignment horizontal="center"/>
    </xf>
    <xf numFmtId="185" fontId="15" fillId="0" borderId="3" xfId="0" applyNumberFormat="1" applyFont="1" applyBorder="1" applyAlignment="1">
      <alignment horizontal="center"/>
    </xf>
    <xf numFmtId="0" fontId="67" fillId="29" borderId="0" xfId="0" applyFont="1" applyFill="1" applyAlignment="1">
      <alignment horizontal="center"/>
    </xf>
    <xf numFmtId="3" fontId="15" fillId="0" borderId="9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5" fillId="41" borderId="0" xfId="0" applyFont="1" applyFill="1"/>
    <xf numFmtId="0" fontId="68" fillId="0" borderId="0" xfId="0" applyFont="1"/>
    <xf numFmtId="0" fontId="68" fillId="41" borderId="0" xfId="0" applyFont="1" applyFill="1"/>
    <xf numFmtId="0" fontId="15" fillId="0" borderId="0" xfId="0" applyFont="1" applyAlignment="1">
      <alignment horizontal="left"/>
    </xf>
    <xf numFmtId="0" fontId="68" fillId="0" borderId="0" xfId="0" applyFont="1" applyAlignment="1">
      <alignment horizontal="left"/>
    </xf>
    <xf numFmtId="0" fontId="68" fillId="0" borderId="0" xfId="0" applyFont="1" applyAlignment="1">
      <alignment horizontal="right"/>
    </xf>
    <xf numFmtId="0" fontId="15" fillId="22" borderId="15" xfId="0" applyFont="1" applyFill="1" applyBorder="1"/>
    <xf numFmtId="3" fontId="69" fillId="22" borderId="17" xfId="0" applyNumberFormat="1" applyFont="1" applyFill="1" applyBorder="1" applyAlignment="1">
      <alignment horizontal="center"/>
    </xf>
    <xf numFmtId="0" fontId="5" fillId="25" borderId="3" xfId="0" applyFont="1" applyFill="1" applyBorder="1" applyAlignment="1">
      <alignment horizontal="center"/>
    </xf>
    <xf numFmtId="3" fontId="5" fillId="38" borderId="3" xfId="0" applyNumberFormat="1" applyFont="1" applyFill="1" applyBorder="1"/>
    <xf numFmtId="0" fontId="70" fillId="8" borderId="3" xfId="0" applyFont="1" applyFill="1" applyBorder="1" applyAlignment="1">
      <alignment horizontal="center"/>
    </xf>
    <xf numFmtId="3" fontId="71" fillId="8" borderId="3" xfId="0" applyNumberFormat="1" applyFont="1" applyFill="1" applyBorder="1" applyAlignment="1">
      <alignment horizontal="center" vertical="center"/>
    </xf>
    <xf numFmtId="188" fontId="72" fillId="0" borderId="3" xfId="0" applyNumberFormat="1" applyFont="1" applyBorder="1" applyAlignment="1">
      <alignment horizontal="center"/>
    </xf>
    <xf numFmtId="3" fontId="72" fillId="0" borderId="3" xfId="0" applyNumberFormat="1" applyFont="1" applyBorder="1" applyAlignment="1">
      <alignment horizontal="center"/>
    </xf>
    <xf numFmtId="0" fontId="72" fillId="0" borderId="3" xfId="0" applyFont="1" applyBorder="1" applyAlignment="1">
      <alignment horizontal="center"/>
    </xf>
    <xf numFmtId="1" fontId="5" fillId="0" borderId="0" xfId="0" applyNumberFormat="1" applyFont="1" applyAlignment="1">
      <alignment horizontal="left"/>
    </xf>
    <xf numFmtId="0" fontId="73" fillId="0" borderId="0" xfId="0" applyFont="1"/>
    <xf numFmtId="0" fontId="15" fillId="29" borderId="3" xfId="0" applyFont="1" applyFill="1" applyBorder="1" applyAlignment="1">
      <alignment horizontal="center"/>
    </xf>
    <xf numFmtId="0" fontId="74" fillId="8" borderId="3" xfId="0" applyFont="1" applyFill="1" applyBorder="1" applyAlignment="1">
      <alignment horizontal="center"/>
    </xf>
    <xf numFmtId="0" fontId="75" fillId="8" borderId="3" xfId="0" applyFont="1" applyFill="1" applyBorder="1" applyAlignment="1">
      <alignment horizontal="center"/>
    </xf>
    <xf numFmtId="0" fontId="15" fillId="29" borderId="2" xfId="0" applyFont="1" applyFill="1" applyBorder="1" applyAlignment="1">
      <alignment horizontal="center"/>
    </xf>
    <xf numFmtId="3" fontId="75" fillId="8" borderId="3" xfId="0" applyNumberFormat="1" applyFont="1" applyFill="1" applyBorder="1" applyAlignment="1">
      <alignment horizontal="center" vertical="center"/>
    </xf>
    <xf numFmtId="0" fontId="68" fillId="9" borderId="3" xfId="0" applyFont="1" applyFill="1" applyBorder="1" applyAlignment="1">
      <alignment horizontal="center" vertical="center"/>
    </xf>
    <xf numFmtId="0" fontId="76" fillId="0" borderId="0" xfId="0" applyFont="1"/>
    <xf numFmtId="0" fontId="68" fillId="0" borderId="0" xfId="0" applyFont="1" applyAlignment="1">
      <alignment horizontal="center"/>
    </xf>
    <xf numFmtId="0" fontId="68" fillId="0" borderId="3" xfId="0" applyFont="1" applyBorder="1" applyAlignment="1">
      <alignment horizontal="center" vertical="center"/>
    </xf>
    <xf numFmtId="0" fontId="68" fillId="30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6" borderId="2" xfId="0" applyFont="1" applyFill="1" applyBorder="1" applyAlignment="1">
      <alignment horizontal="center"/>
    </xf>
    <xf numFmtId="0" fontId="15" fillId="0" borderId="2" xfId="0" applyFont="1" applyBorder="1"/>
    <xf numFmtId="0" fontId="68" fillId="0" borderId="39" xfId="0" applyFont="1" applyBorder="1" applyAlignment="1">
      <alignment horizontal="left"/>
    </xf>
    <xf numFmtId="0" fontId="15" fillId="26" borderId="17" xfId="0" applyFont="1" applyFill="1" applyBorder="1" applyAlignment="1">
      <alignment horizontal="center"/>
    </xf>
    <xf numFmtId="0" fontId="68" fillId="0" borderId="0" xfId="0" applyFont="1" applyAlignment="1">
      <alignment horizontal="center" vertical="center"/>
    </xf>
    <xf numFmtId="0" fontId="57" fillId="8" borderId="3" xfId="0" applyFont="1" applyFill="1" applyBorder="1" applyAlignment="1">
      <alignment horizontal="center"/>
    </xf>
    <xf numFmtId="0" fontId="15" fillId="0" borderId="17" xfId="0" applyFont="1" applyBorder="1"/>
    <xf numFmtId="0" fontId="15" fillId="29" borderId="5" xfId="0" applyFont="1" applyFill="1" applyBorder="1" applyAlignment="1">
      <alignment horizontal="center"/>
    </xf>
    <xf numFmtId="0" fontId="68" fillId="0" borderId="40" xfId="0" applyFont="1" applyBorder="1" applyAlignment="1">
      <alignment horizontal="left"/>
    </xf>
    <xf numFmtId="0" fontId="15" fillId="0" borderId="7" xfId="0" applyFont="1" applyBorder="1" applyAlignment="1">
      <alignment horizontal="center"/>
    </xf>
    <xf numFmtId="0" fontId="68" fillId="0" borderId="24" xfId="0" applyFont="1" applyBorder="1" applyAlignment="1">
      <alignment horizontal="left"/>
    </xf>
    <xf numFmtId="0" fontId="15" fillId="36" borderId="17" xfId="0" applyFont="1" applyFill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4" fillId="38" borderId="3" xfId="0" applyFont="1" applyFill="1" applyBorder="1" applyAlignment="1">
      <alignment horizontal="center"/>
    </xf>
    <xf numFmtId="0" fontId="15" fillId="38" borderId="3" xfId="0" applyFont="1" applyFill="1" applyBorder="1"/>
    <xf numFmtId="0" fontId="68" fillId="0" borderId="46" xfId="0" applyFont="1" applyBorder="1" applyAlignment="1">
      <alignment horizontal="left"/>
    </xf>
    <xf numFmtId="0" fontId="5" fillId="0" borderId="0" xfId="0" applyFont="1" applyAlignment="1">
      <alignment horizontal="left"/>
    </xf>
    <xf numFmtId="2" fontId="5" fillId="0" borderId="3" xfId="0" applyNumberFormat="1" applyFont="1" applyBorder="1" applyAlignment="1">
      <alignment horizontal="center"/>
    </xf>
    <xf numFmtId="2" fontId="5" fillId="0" borderId="3" xfId="0" quotePrefix="1" applyNumberFormat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68" fillId="30" borderId="8" xfId="0" applyFont="1" applyFill="1" applyBorder="1" applyAlignment="1">
      <alignment horizontal="center"/>
    </xf>
    <xf numFmtId="2" fontId="15" fillId="0" borderId="3" xfId="0" applyNumberFormat="1" applyFont="1" applyBorder="1" applyAlignment="1">
      <alignment horizontal="center"/>
    </xf>
    <xf numFmtId="0" fontId="15" fillId="0" borderId="3" xfId="0" quotePrefix="1" applyFont="1" applyBorder="1" applyAlignment="1">
      <alignment horizontal="center"/>
    </xf>
    <xf numFmtId="0" fontId="68" fillId="25" borderId="24" xfId="0" applyFont="1" applyFill="1" applyBorder="1" applyAlignment="1">
      <alignment horizontal="left"/>
    </xf>
    <xf numFmtId="0" fontId="68" fillId="0" borderId="44" xfId="0" applyFont="1" applyBorder="1" applyAlignment="1">
      <alignment horizontal="left"/>
    </xf>
    <xf numFmtId="0" fontId="68" fillId="0" borderId="45" xfId="0" applyFont="1" applyBorder="1" applyAlignment="1">
      <alignment horizontal="left"/>
    </xf>
    <xf numFmtId="0" fontId="68" fillId="0" borderId="23" xfId="0" applyFont="1" applyBorder="1" applyAlignment="1">
      <alignment horizontal="left"/>
    </xf>
    <xf numFmtId="0" fontId="78" fillId="2" borderId="3" xfId="0" applyFont="1" applyFill="1" applyBorder="1" applyAlignment="1">
      <alignment horizontal="center"/>
    </xf>
    <xf numFmtId="0" fontId="15" fillId="22" borderId="2" xfId="0" applyFont="1" applyFill="1" applyBorder="1" applyAlignment="1">
      <alignment horizontal="center"/>
    </xf>
    <xf numFmtId="0" fontId="15" fillId="22" borderId="7" xfId="0" applyFont="1" applyFill="1" applyBorder="1" applyAlignment="1">
      <alignment horizontal="center"/>
    </xf>
    <xf numFmtId="0" fontId="15" fillId="22" borderId="17" xfId="0" applyFont="1" applyFill="1" applyBorder="1" applyAlignment="1">
      <alignment horizontal="center"/>
    </xf>
    <xf numFmtId="0" fontId="15" fillId="22" borderId="18" xfId="0" applyFont="1" applyFill="1" applyBorder="1" applyAlignment="1">
      <alignment horizontal="center"/>
    </xf>
    <xf numFmtId="0" fontId="15" fillId="22" borderId="3" xfId="0" applyFont="1" applyFill="1" applyBorder="1" applyAlignment="1">
      <alignment horizontal="center"/>
    </xf>
    <xf numFmtId="3" fontId="15" fillId="0" borderId="18" xfId="0" applyNumberFormat="1" applyFont="1" applyBorder="1" applyAlignment="1">
      <alignment horizontal="center"/>
    </xf>
    <xf numFmtId="0" fontId="78" fillId="2" borderId="15" xfId="0" applyFont="1" applyFill="1" applyBorder="1" applyAlignment="1">
      <alignment horizontal="center"/>
    </xf>
    <xf numFmtId="0" fontId="74" fillId="8" borderId="15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3" fontId="15" fillId="0" borderId="13" xfId="0" applyNumberFormat="1" applyFont="1" applyBorder="1" applyAlignment="1">
      <alignment horizontal="center"/>
    </xf>
    <xf numFmtId="0" fontId="15" fillId="0" borderId="15" xfId="0" applyFont="1" applyBorder="1"/>
    <xf numFmtId="0" fontId="15" fillId="0" borderId="17" xfId="0" applyFont="1" applyBorder="1" applyAlignment="1">
      <alignment horizontal="right"/>
    </xf>
    <xf numFmtId="185" fontId="75" fillId="8" borderId="3" xfId="0" applyNumberFormat="1" applyFont="1" applyFill="1" applyBorder="1" applyAlignment="1">
      <alignment horizontal="center"/>
    </xf>
    <xf numFmtId="185" fontId="74" fillId="8" borderId="3" xfId="0" applyNumberFormat="1" applyFont="1" applyFill="1" applyBorder="1" applyAlignment="1">
      <alignment horizontal="center"/>
    </xf>
    <xf numFmtId="0" fontId="13" fillId="25" borderId="3" xfId="0" applyFont="1" applyFill="1" applyBorder="1" applyAlignment="1">
      <alignment horizontal="center" vertical="center"/>
    </xf>
    <xf numFmtId="0" fontId="69" fillId="8" borderId="0" xfId="0" applyFont="1" applyFill="1" applyAlignment="1">
      <alignment horizontal="left"/>
    </xf>
    <xf numFmtId="0" fontId="14" fillId="8" borderId="0" xfId="0" applyFont="1" applyFill="1" applyAlignment="1">
      <alignment horizontal="center"/>
    </xf>
    <xf numFmtId="0" fontId="14" fillId="36" borderId="3" xfId="0" applyFont="1" applyFill="1" applyBorder="1" applyAlignment="1">
      <alignment horizontal="center"/>
    </xf>
    <xf numFmtId="0" fontId="14" fillId="36" borderId="2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3" fontId="14" fillId="0" borderId="17" xfId="0" applyNumberFormat="1" applyFont="1" applyBorder="1" applyAlignment="1">
      <alignment horizontal="center"/>
    </xf>
    <xf numFmtId="9" fontId="14" fillId="0" borderId="17" xfId="0" applyNumberFormat="1" applyFont="1" applyBorder="1" applyAlignment="1">
      <alignment horizontal="center"/>
    </xf>
    <xf numFmtId="0" fontId="14" fillId="36" borderId="15" xfId="0" applyFont="1" applyFill="1" applyBorder="1" applyAlignment="1">
      <alignment horizontal="center"/>
    </xf>
    <xf numFmtId="3" fontId="14" fillId="36" borderId="17" xfId="0" applyNumberFormat="1" applyFont="1" applyFill="1" applyBorder="1" applyAlignment="1">
      <alignment horizontal="center"/>
    </xf>
    <xf numFmtId="9" fontId="14" fillId="36" borderId="17" xfId="0" applyNumberFormat="1" applyFont="1" applyFill="1" applyBorder="1" applyAlignment="1">
      <alignment horizontal="center"/>
    </xf>
    <xf numFmtId="0" fontId="23" fillId="8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23" fillId="8" borderId="0" xfId="0" applyFont="1" applyFill="1" applyAlignment="1">
      <alignment horizontal="center"/>
    </xf>
    <xf numFmtId="0" fontId="23" fillId="0" borderId="18" xfId="0" applyFont="1" applyBorder="1" applyAlignment="1">
      <alignment horizontal="center"/>
    </xf>
    <xf numFmtId="0" fontId="15" fillId="0" borderId="18" xfId="0" applyFont="1" applyBorder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5" fillId="8" borderId="0" xfId="0" applyFont="1" applyFill="1"/>
    <xf numFmtId="0" fontId="15" fillId="36" borderId="15" xfId="0" applyFont="1" applyFill="1" applyBorder="1"/>
    <xf numFmtId="0" fontId="15" fillId="36" borderId="2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69" fillId="8" borderId="0" xfId="0" applyFont="1" applyFill="1" applyAlignment="1">
      <alignment horizontal="center"/>
    </xf>
    <xf numFmtId="0" fontId="69" fillId="36" borderId="15" xfId="0" applyFont="1" applyFill="1" applyBorder="1" applyAlignment="1">
      <alignment horizontal="center"/>
    </xf>
    <xf numFmtId="0" fontId="69" fillId="36" borderId="17" xfId="0" applyFont="1" applyFill="1" applyBorder="1"/>
    <xf numFmtId="3" fontId="69" fillId="36" borderId="17" xfId="0" applyNumberFormat="1" applyFont="1" applyFill="1" applyBorder="1" applyAlignment="1">
      <alignment horizontal="center"/>
    </xf>
    <xf numFmtId="0" fontId="15" fillId="0" borderId="22" xfId="0" applyFont="1" applyBorder="1" applyAlignment="1">
      <alignment horizontal="left"/>
    </xf>
    <xf numFmtId="3" fontId="15" fillId="3" borderId="5" xfId="0" applyNumberFormat="1" applyFont="1" applyFill="1" applyBorder="1"/>
    <xf numFmtId="0" fontId="15" fillId="0" borderId="26" xfId="0" quotePrefix="1" applyFont="1" applyBorder="1" applyAlignment="1">
      <alignment horizontal="left"/>
    </xf>
    <xf numFmtId="3" fontId="15" fillId="3" borderId="9" xfId="0" applyNumberFormat="1" applyFont="1" applyFill="1" applyBorder="1"/>
    <xf numFmtId="0" fontId="15" fillId="0" borderId="26" xfId="0" applyFont="1" applyBorder="1" applyAlignment="1">
      <alignment horizontal="left"/>
    </xf>
    <xf numFmtId="190" fontId="15" fillId="0" borderId="0" xfId="0" applyNumberFormat="1" applyFont="1"/>
    <xf numFmtId="0" fontId="15" fillId="0" borderId="26" xfId="0" applyFont="1" applyBorder="1"/>
    <xf numFmtId="0" fontId="15" fillId="0" borderId="9" xfId="0" applyFont="1" applyBorder="1"/>
    <xf numFmtId="3" fontId="19" fillId="3" borderId="9" xfId="0" applyNumberFormat="1" applyFont="1" applyFill="1" applyBorder="1"/>
    <xf numFmtId="0" fontId="15" fillId="0" borderId="14" xfId="0" applyFont="1" applyBorder="1"/>
    <xf numFmtId="9" fontId="15" fillId="0" borderId="17" xfId="0" applyNumberFormat="1" applyFont="1" applyBorder="1" applyAlignment="1">
      <alignment horizontal="right"/>
    </xf>
    <xf numFmtId="0" fontId="5" fillId="0" borderId="22" xfId="0" applyFont="1" applyBorder="1"/>
    <xf numFmtId="0" fontId="5" fillId="0" borderId="5" xfId="0" applyFont="1" applyBorder="1"/>
    <xf numFmtId="0" fontId="5" fillId="0" borderId="26" xfId="0" applyFont="1" applyBorder="1"/>
    <xf numFmtId="0" fontId="5" fillId="0" borderId="9" xfId="0" applyFont="1" applyBorder="1"/>
    <xf numFmtId="0" fontId="5" fillId="0" borderId="9" xfId="0" applyFont="1" applyBorder="1" applyAlignment="1">
      <alignment horizontal="right"/>
    </xf>
    <xf numFmtId="0" fontId="5" fillId="0" borderId="14" xfId="0" applyFont="1" applyBorder="1"/>
    <xf numFmtId="191" fontId="5" fillId="0" borderId="17" xfId="0" applyNumberFormat="1" applyFont="1" applyBorder="1"/>
    <xf numFmtId="4" fontId="5" fillId="3" borderId="0" xfId="0" applyNumberFormat="1" applyFont="1" applyFill="1"/>
    <xf numFmtId="0" fontId="14" fillId="0" borderId="0" xfId="0" applyFont="1"/>
    <xf numFmtId="0" fontId="14" fillId="0" borderId="0" xfId="0" applyFont="1" applyAlignment="1">
      <alignment horizontal="center"/>
    </xf>
    <xf numFmtId="0" fontId="79" fillId="0" borderId="0" xfId="0" applyFont="1" applyAlignment="1">
      <alignment horizontal="left"/>
    </xf>
    <xf numFmtId="0" fontId="80" fillId="22" borderId="3" xfId="0" applyFont="1" applyFill="1" applyBorder="1" applyAlignment="1">
      <alignment horizontal="center"/>
    </xf>
    <xf numFmtId="0" fontId="80" fillId="22" borderId="2" xfId="0" applyFont="1" applyFill="1" applyBorder="1" applyAlignment="1">
      <alignment horizontal="center"/>
    </xf>
    <xf numFmtId="0" fontId="14" fillId="0" borderId="17" xfId="0" applyFont="1" applyBorder="1" applyAlignment="1">
      <alignment horizontal="center"/>
    </xf>
    <xf numFmtId="3" fontId="14" fillId="3" borderId="17" xfId="0" applyNumberFormat="1" applyFont="1" applyFill="1" applyBorder="1" applyAlignment="1">
      <alignment horizontal="center"/>
    </xf>
    <xf numFmtId="0" fontId="14" fillId="3" borderId="17" xfId="0" applyFont="1" applyFill="1" applyBorder="1" applyAlignment="1">
      <alignment horizontal="center"/>
    </xf>
    <xf numFmtId="179" fontId="81" fillId="0" borderId="3" xfId="0" applyNumberFormat="1" applyFont="1" applyBorder="1" applyAlignment="1">
      <alignment horizontal="center" vertical="center"/>
    </xf>
    <xf numFmtId="185" fontId="81" fillId="0" borderId="3" xfId="0" applyNumberFormat="1" applyFont="1" applyBorder="1" applyAlignment="1">
      <alignment horizontal="center" vertical="center"/>
    </xf>
    <xf numFmtId="192" fontId="81" fillId="13" borderId="3" xfId="0" applyNumberFormat="1" applyFont="1" applyFill="1" applyBorder="1" applyAlignment="1">
      <alignment horizontal="center" vertical="center"/>
    </xf>
    <xf numFmtId="192" fontId="81" fillId="13" borderId="47" xfId="0" applyNumberFormat="1" applyFont="1" applyFill="1" applyBorder="1" applyAlignment="1">
      <alignment horizontal="center" vertical="center"/>
    </xf>
    <xf numFmtId="192" fontId="82" fillId="42" borderId="48" xfId="0" applyNumberFormat="1" applyFont="1" applyFill="1" applyBorder="1" applyAlignment="1">
      <alignment horizontal="center" vertical="center"/>
    </xf>
    <xf numFmtId="192" fontId="82" fillId="42" borderId="27" xfId="0" applyNumberFormat="1" applyFont="1" applyFill="1" applyBorder="1" applyAlignment="1">
      <alignment horizontal="center" vertical="center"/>
    </xf>
    <xf numFmtId="192" fontId="81" fillId="13" borderId="49" xfId="0" applyNumberFormat="1" applyFont="1" applyFill="1" applyBorder="1" applyAlignment="1">
      <alignment horizontal="center" vertical="center"/>
    </xf>
    <xf numFmtId="179" fontId="81" fillId="0" borderId="0" xfId="0" applyNumberFormat="1" applyFont="1" applyAlignment="1">
      <alignment vertical="center"/>
    </xf>
    <xf numFmtId="179" fontId="81" fillId="0" borderId="3" xfId="0" applyNumberFormat="1" applyFont="1" applyBorder="1" applyAlignment="1">
      <alignment vertical="center"/>
    </xf>
    <xf numFmtId="179" fontId="82" fillId="0" borderId="50" xfId="0" applyNumberFormat="1" applyFont="1" applyBorder="1" applyAlignment="1">
      <alignment vertical="center"/>
    </xf>
    <xf numFmtId="179" fontId="82" fillId="0" borderId="28" xfId="0" applyNumberFormat="1" applyFont="1" applyBorder="1" applyAlignment="1">
      <alignment vertical="center"/>
    </xf>
    <xf numFmtId="179" fontId="81" fillId="0" borderId="2" xfId="0" applyNumberFormat="1" applyFont="1" applyBorder="1" applyAlignment="1">
      <alignment vertical="center"/>
    </xf>
    <xf numFmtId="179" fontId="81" fillId="0" borderId="52" xfId="0" applyNumberFormat="1" applyFont="1" applyBorder="1" applyAlignment="1">
      <alignment horizontal="center" vertical="center"/>
    </xf>
    <xf numFmtId="179" fontId="81" fillId="0" borderId="52" xfId="0" applyNumberFormat="1" applyFont="1" applyBorder="1" applyAlignment="1">
      <alignment vertical="center"/>
    </xf>
    <xf numFmtId="179" fontId="82" fillId="0" borderId="53" xfId="0" applyNumberFormat="1" applyFont="1" applyBorder="1" applyAlignment="1">
      <alignment vertical="center"/>
    </xf>
    <xf numFmtId="179" fontId="82" fillId="0" borderId="29" xfId="0" applyNumberFormat="1" applyFont="1" applyBorder="1" applyAlignment="1">
      <alignment vertical="center"/>
    </xf>
    <xf numFmtId="179" fontId="81" fillId="0" borderId="54" xfId="0" applyNumberFormat="1" applyFont="1" applyBorder="1" applyAlignment="1">
      <alignment vertical="center"/>
    </xf>
    <xf numFmtId="179" fontId="81" fillId="0" borderId="8" xfId="0" applyNumberFormat="1" applyFont="1" applyBorder="1" applyAlignment="1">
      <alignment vertical="center"/>
    </xf>
    <xf numFmtId="0" fontId="81" fillId="0" borderId="3" xfId="0" applyFont="1" applyBorder="1" applyAlignment="1">
      <alignment horizontal="center" vertical="center"/>
    </xf>
    <xf numFmtId="179" fontId="81" fillId="0" borderId="1" xfId="0" applyNumberFormat="1" applyFont="1" applyBorder="1" applyAlignment="1">
      <alignment vertical="center"/>
    </xf>
    <xf numFmtId="179" fontId="82" fillId="0" borderId="37" xfId="0" applyNumberFormat="1" applyFont="1" applyBorder="1" applyAlignment="1">
      <alignment vertical="center"/>
    </xf>
    <xf numFmtId="0" fontId="81" fillId="0" borderId="0" xfId="0" applyFont="1" applyAlignment="1">
      <alignment vertical="center"/>
    </xf>
    <xf numFmtId="179" fontId="81" fillId="0" borderId="13" xfId="0" applyNumberFormat="1" applyFont="1" applyBorder="1" applyAlignment="1">
      <alignment vertical="center"/>
    </xf>
    <xf numFmtId="179" fontId="81" fillId="0" borderId="15" xfId="0" applyNumberFormat="1" applyFont="1" applyBorder="1" applyAlignment="1">
      <alignment vertical="center"/>
    </xf>
    <xf numFmtId="0" fontId="81" fillId="0" borderId="52" xfId="0" applyFont="1" applyBorder="1" applyAlignment="1">
      <alignment horizontal="center" vertical="center"/>
    </xf>
    <xf numFmtId="179" fontId="81" fillId="0" borderId="55" xfId="0" applyNumberFormat="1" applyFont="1" applyBorder="1" applyAlignment="1">
      <alignment vertical="center"/>
    </xf>
    <xf numFmtId="0" fontId="5" fillId="4" borderId="3" xfId="0" applyFont="1" applyFill="1" applyBorder="1"/>
    <xf numFmtId="0" fontId="81" fillId="0" borderId="15" xfId="0" applyFont="1" applyBorder="1" applyAlignment="1">
      <alignment horizontal="center" vertical="center"/>
    </xf>
    <xf numFmtId="179" fontId="81" fillId="0" borderId="15" xfId="0" applyNumberFormat="1" applyFont="1" applyBorder="1" applyAlignment="1">
      <alignment horizontal="center" vertical="center"/>
    </xf>
    <xf numFmtId="179" fontId="81" fillId="0" borderId="14" xfId="0" applyNumberFormat="1" applyFont="1" applyBorder="1" applyAlignment="1">
      <alignment vertical="center"/>
    </xf>
    <xf numFmtId="179" fontId="82" fillId="0" borderId="56" xfId="0" applyNumberFormat="1" applyFont="1" applyBorder="1" applyAlignment="1">
      <alignment vertical="center"/>
    </xf>
    <xf numFmtId="179" fontId="81" fillId="0" borderId="17" xfId="0" applyNumberFormat="1" applyFont="1" applyBorder="1" applyAlignment="1">
      <alignment vertical="center"/>
    </xf>
    <xf numFmtId="185" fontId="83" fillId="0" borderId="0" xfId="0" applyNumberFormat="1" applyFont="1" applyAlignment="1">
      <alignment vertical="center"/>
    </xf>
    <xf numFmtId="0" fontId="83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1" fillId="0" borderId="0" xfId="0" applyFont="1" applyAlignment="1">
      <alignment horizontal="left" vertical="center"/>
    </xf>
    <xf numFmtId="176" fontId="1" fillId="2" borderId="1" xfId="0" applyNumberFormat="1" applyFont="1" applyFill="1" applyBorder="1" applyAlignment="1">
      <alignment horizontal="center"/>
    </xf>
    <xf numFmtId="0" fontId="6" fillId="0" borderId="2" xfId="0" applyFont="1" applyBorder="1"/>
    <xf numFmtId="176" fontId="10" fillId="4" borderId="4" xfId="0" applyNumberFormat="1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176" fontId="10" fillId="5" borderId="8" xfId="0" applyNumberFormat="1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5" xfId="0" applyFont="1" applyBorder="1"/>
    <xf numFmtId="176" fontId="1" fillId="6" borderId="8" xfId="0" applyNumberFormat="1" applyFont="1" applyFill="1" applyBorder="1" applyAlignment="1">
      <alignment horizontal="center" vertical="center"/>
    </xf>
    <xf numFmtId="176" fontId="12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7" xfId="0" applyFont="1" applyBorder="1"/>
    <xf numFmtId="176" fontId="10" fillId="9" borderId="8" xfId="0" applyNumberFormat="1" applyFont="1" applyFill="1" applyBorder="1" applyAlignment="1">
      <alignment horizontal="center" vertical="center"/>
    </xf>
    <xf numFmtId="176" fontId="1" fillId="10" borderId="8" xfId="0" applyNumberFormat="1" applyFont="1" applyFill="1" applyBorder="1" applyAlignment="1">
      <alignment horizontal="center" vertical="center"/>
    </xf>
    <xf numFmtId="176" fontId="11" fillId="4" borderId="18" xfId="0" applyNumberFormat="1" applyFont="1" applyFill="1" applyBorder="1" applyAlignment="1">
      <alignment horizontal="center" vertical="center"/>
    </xf>
    <xf numFmtId="176" fontId="11" fillId="13" borderId="18" xfId="0" applyNumberFormat="1" applyFont="1" applyFill="1" applyBorder="1" applyAlignment="1">
      <alignment horizontal="center" vertical="center"/>
    </xf>
    <xf numFmtId="176" fontId="10" fillId="13" borderId="22" xfId="0" applyNumberFormat="1" applyFont="1" applyFill="1" applyBorder="1" applyAlignment="1">
      <alignment horizontal="center" vertical="center"/>
    </xf>
    <xf numFmtId="176" fontId="12" fillId="13" borderId="13" xfId="0" applyNumberFormat="1" applyFont="1" applyFill="1" applyBorder="1" applyAlignment="1">
      <alignment horizontal="center" vertical="center"/>
    </xf>
    <xf numFmtId="176" fontId="11" fillId="13" borderId="18" xfId="0" applyNumberFormat="1" applyFont="1" applyFill="1" applyBorder="1" applyAlignment="1">
      <alignment horizontal="center"/>
    </xf>
    <xf numFmtId="176" fontId="10" fillId="5" borderId="1" xfId="0" applyNumberFormat="1" applyFont="1" applyFill="1" applyBorder="1" applyAlignment="1">
      <alignment horizontal="center" vertical="center"/>
    </xf>
    <xf numFmtId="0" fontId="6" fillId="0" borderId="7" xfId="0" applyFont="1" applyBorder="1"/>
    <xf numFmtId="176" fontId="12" fillId="5" borderId="8" xfId="0" applyNumberFormat="1" applyFont="1" applyFill="1" applyBorder="1" applyAlignment="1">
      <alignment horizontal="center" vertical="center"/>
    </xf>
    <xf numFmtId="176" fontId="11" fillId="5" borderId="18" xfId="0" applyNumberFormat="1" applyFont="1" applyFill="1" applyBorder="1" applyAlignment="1">
      <alignment horizontal="center" vertical="center"/>
    </xf>
    <xf numFmtId="176" fontId="10" fillId="13" borderId="1" xfId="0" applyNumberFormat="1" applyFont="1" applyFill="1" applyBorder="1" applyAlignment="1">
      <alignment horizontal="center" vertical="center"/>
    </xf>
    <xf numFmtId="176" fontId="10" fillId="5" borderId="10" xfId="0" applyNumberFormat="1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6" xfId="0" applyFont="1" applyBorder="1"/>
    <xf numFmtId="176" fontId="10" fillId="9" borderId="10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10" borderId="5" xfId="0" applyNumberFormat="1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0" fontId="13" fillId="22" borderId="8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3" fillId="25" borderId="8" xfId="0" applyFont="1" applyFill="1" applyBorder="1" applyAlignment="1">
      <alignment horizontal="center" vertical="center"/>
    </xf>
    <xf numFmtId="176" fontId="11" fillId="13" borderId="1" xfId="0" applyNumberFormat="1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/>
    </xf>
    <xf numFmtId="176" fontId="11" fillId="13" borderId="22" xfId="0" applyNumberFormat="1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1" fillId="22" borderId="8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1" fillId="25" borderId="8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27" fillId="0" borderId="0" xfId="0" applyFont="1"/>
    <xf numFmtId="0" fontId="0" fillId="0" borderId="0" xfId="0"/>
    <xf numFmtId="177" fontId="8" fillId="2" borderId="1" xfId="0" applyNumberFormat="1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/>
    </xf>
    <xf numFmtId="0" fontId="26" fillId="21" borderId="5" xfId="0" applyFont="1" applyFill="1" applyBorder="1" applyAlignment="1">
      <alignment horizontal="center" vertical="center"/>
    </xf>
    <xf numFmtId="0" fontId="29" fillId="22" borderId="1" xfId="0" applyFont="1" applyFill="1" applyBorder="1" applyAlignment="1">
      <alignment horizontal="center"/>
    </xf>
    <xf numFmtId="0" fontId="26" fillId="22" borderId="8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/>
    </xf>
    <xf numFmtId="0" fontId="25" fillId="23" borderId="5" xfId="0" applyFont="1" applyFill="1" applyBorder="1" applyAlignment="1">
      <alignment horizontal="center" vertical="center"/>
    </xf>
    <xf numFmtId="0" fontId="25" fillId="10" borderId="5" xfId="0" applyFont="1" applyFill="1" applyBorder="1" applyAlignment="1">
      <alignment horizontal="center" vertical="center"/>
    </xf>
    <xf numFmtId="0" fontId="15" fillId="0" borderId="0" xfId="0" applyFont="1"/>
    <xf numFmtId="0" fontId="13" fillId="5" borderId="22" xfId="0" applyFont="1" applyFill="1" applyBorder="1" applyAlignment="1">
      <alignment horizontal="center"/>
    </xf>
    <xf numFmtId="0" fontId="16" fillId="5" borderId="13" xfId="0" applyFont="1" applyFill="1" applyBorder="1" applyAlignment="1">
      <alignment vertical="center"/>
    </xf>
    <xf numFmtId="0" fontId="13" fillId="5" borderId="26" xfId="0" applyFont="1" applyFill="1" applyBorder="1" applyAlignment="1">
      <alignment horizontal="center" vertical="center"/>
    </xf>
    <xf numFmtId="0" fontId="6" fillId="0" borderId="26" xfId="0" applyFont="1" applyBorder="1"/>
    <xf numFmtId="0" fontId="6" fillId="0" borderId="14" xfId="0" applyFont="1" applyBorder="1"/>
    <xf numFmtId="0" fontId="13" fillId="9" borderId="26" xfId="0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horizontal="center"/>
    </xf>
    <xf numFmtId="176" fontId="11" fillId="0" borderId="18" xfId="0" applyNumberFormat="1" applyFont="1" applyBorder="1" applyAlignment="1">
      <alignment horizontal="center"/>
    </xf>
    <xf numFmtId="0" fontId="6" fillId="0" borderId="18" xfId="0" applyFont="1" applyBorder="1"/>
    <xf numFmtId="176" fontId="10" fillId="4" borderId="22" xfId="0" applyNumberFormat="1" applyFont="1" applyFill="1" applyBorder="1" applyAlignment="1">
      <alignment horizontal="center"/>
    </xf>
    <xf numFmtId="176" fontId="1" fillId="4" borderId="13" xfId="0" applyNumberFormat="1" applyFont="1" applyFill="1" applyBorder="1"/>
    <xf numFmtId="176" fontId="10" fillId="5" borderId="10" xfId="0" applyNumberFormat="1" applyFont="1" applyFill="1" applyBorder="1" applyAlignment="1">
      <alignment horizontal="center"/>
    </xf>
    <xf numFmtId="176" fontId="10" fillId="9" borderId="10" xfId="0" applyNumberFormat="1" applyFont="1" applyFill="1" applyBorder="1" applyAlignment="1">
      <alignment horizontal="center"/>
    </xf>
    <xf numFmtId="176" fontId="11" fillId="4" borderId="18" xfId="0" applyNumberFormat="1" applyFont="1" applyFill="1" applyBorder="1" applyAlignment="1">
      <alignment horizontal="center"/>
    </xf>
    <xf numFmtId="176" fontId="10" fillId="5" borderId="22" xfId="0" applyNumberFormat="1" applyFont="1" applyFill="1" applyBorder="1" applyAlignment="1">
      <alignment horizontal="center"/>
    </xf>
    <xf numFmtId="176" fontId="1" fillId="5" borderId="13" xfId="0" applyNumberFormat="1" applyFont="1" applyFill="1" applyBorder="1"/>
    <xf numFmtId="176" fontId="11" fillId="5" borderId="18" xfId="0" applyNumberFormat="1" applyFont="1" applyFill="1" applyBorder="1" applyAlignment="1">
      <alignment horizontal="center"/>
    </xf>
    <xf numFmtId="176" fontId="10" fillId="13" borderId="26" xfId="0" applyNumberFormat="1" applyFont="1" applyFill="1" applyBorder="1" applyAlignment="1">
      <alignment horizontal="center"/>
    </xf>
    <xf numFmtId="176" fontId="10" fillId="5" borderId="8" xfId="0" applyNumberFormat="1" applyFont="1" applyFill="1" applyBorder="1" applyAlignment="1">
      <alignment horizontal="center"/>
    </xf>
    <xf numFmtId="176" fontId="1" fillId="13" borderId="13" xfId="0" applyNumberFormat="1" applyFont="1" applyFill="1" applyBorder="1"/>
    <xf numFmtId="176" fontId="1" fillId="0" borderId="0" xfId="0" applyNumberFormat="1" applyFont="1"/>
    <xf numFmtId="176" fontId="10" fillId="13" borderId="22" xfId="0" applyNumberFormat="1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31" borderId="14" xfId="0" applyFont="1" applyFill="1" applyBorder="1" applyAlignment="1">
      <alignment horizontal="center"/>
    </xf>
    <xf numFmtId="0" fontId="11" fillId="26" borderId="1" xfId="0" applyFont="1" applyFill="1" applyBorder="1" applyAlignment="1">
      <alignment horizontal="center"/>
    </xf>
    <xf numFmtId="176" fontId="11" fillId="6" borderId="7" xfId="0" applyNumberFormat="1" applyFont="1" applyFill="1" applyBorder="1" applyAlignment="1">
      <alignment horizontal="center"/>
    </xf>
    <xf numFmtId="3" fontId="49" fillId="6" borderId="5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/>
    </xf>
    <xf numFmtId="176" fontId="49" fillId="6" borderId="5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176" fontId="11" fillId="4" borderId="7" xfId="0" applyNumberFormat="1" applyFont="1" applyFill="1" applyBorder="1" applyAlignment="1">
      <alignment horizontal="center"/>
    </xf>
    <xf numFmtId="176" fontId="49" fillId="4" borderId="5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176" fontId="11" fillId="26" borderId="7" xfId="0" applyNumberFormat="1" applyFont="1" applyFill="1" applyBorder="1" applyAlignment="1">
      <alignment horizontal="center"/>
    </xf>
    <xf numFmtId="3" fontId="49" fillId="26" borderId="5" xfId="0" applyNumberFormat="1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10" fillId="21" borderId="22" xfId="0" applyFont="1" applyFill="1" applyBorder="1" applyAlignment="1">
      <alignment horizontal="center"/>
    </xf>
    <xf numFmtId="0" fontId="26" fillId="21" borderId="13" xfId="0" applyFont="1" applyFill="1" applyBorder="1" applyAlignment="1">
      <alignment horizontal="center" vertical="center"/>
    </xf>
    <xf numFmtId="0" fontId="13" fillId="22" borderId="22" xfId="0" applyFont="1" applyFill="1" applyBorder="1" applyAlignment="1">
      <alignment horizontal="center" vertical="center"/>
    </xf>
    <xf numFmtId="0" fontId="13" fillId="12" borderId="26" xfId="0" applyFont="1" applyFill="1" applyBorder="1" applyAlignment="1">
      <alignment horizontal="center" vertical="center"/>
    </xf>
    <xf numFmtId="0" fontId="29" fillId="25" borderId="22" xfId="0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10" fillId="22" borderId="22" xfId="0" applyFont="1" applyFill="1" applyBorder="1" applyAlignment="1">
      <alignment horizontal="center"/>
    </xf>
    <xf numFmtId="0" fontId="26" fillId="22" borderId="13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/>
    </xf>
    <xf numFmtId="0" fontId="26" fillId="6" borderId="13" xfId="0" applyFont="1" applyFill="1" applyBorder="1" applyAlignment="1">
      <alignment horizontal="center" vertical="center"/>
    </xf>
    <xf numFmtId="0" fontId="29" fillId="6" borderId="13" xfId="0" applyFont="1" applyFill="1" applyBorder="1" applyAlignment="1">
      <alignment horizontal="center" vertical="center"/>
    </xf>
    <xf numFmtId="0" fontId="29" fillId="22" borderId="7" xfId="0" applyFont="1" applyFill="1" applyBorder="1" applyAlignment="1">
      <alignment horizontal="center"/>
    </xf>
    <xf numFmtId="0" fontId="10" fillId="6" borderId="22" xfId="0" applyFont="1" applyFill="1" applyBorder="1" applyAlignment="1">
      <alignment horizontal="center"/>
    </xf>
    <xf numFmtId="0" fontId="13" fillId="22" borderId="22" xfId="0" applyFont="1" applyFill="1" applyBorder="1" applyAlignment="1">
      <alignment horizontal="center"/>
    </xf>
    <xf numFmtId="0" fontId="13" fillId="12" borderId="22" xfId="0" applyFont="1" applyFill="1" applyBorder="1" applyAlignment="1">
      <alignment horizontal="center"/>
    </xf>
    <xf numFmtId="0" fontId="29" fillId="6" borderId="7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13" fillId="12" borderId="22" xfId="0" applyFont="1" applyFill="1" applyBorder="1" applyAlignment="1">
      <alignment horizontal="center" vertical="center"/>
    </xf>
    <xf numFmtId="176" fontId="10" fillId="4" borderId="7" xfId="0" applyNumberFormat="1" applyFont="1" applyFill="1" applyBorder="1" applyAlignment="1">
      <alignment horizontal="center"/>
    </xf>
    <xf numFmtId="176" fontId="10" fillId="5" borderId="5" xfId="0" applyNumberFormat="1" applyFont="1" applyFill="1" applyBorder="1" applyAlignment="1">
      <alignment horizontal="center" vertical="center"/>
    </xf>
    <xf numFmtId="176" fontId="10" fillId="9" borderId="5" xfId="0" applyNumberFormat="1" applyFont="1" applyFill="1" applyBorder="1" applyAlignment="1">
      <alignment horizontal="center" vertical="center"/>
    </xf>
    <xf numFmtId="0" fontId="10" fillId="21" borderId="7" xfId="0" applyFont="1" applyFill="1" applyBorder="1" applyAlignment="1">
      <alignment horizontal="center"/>
    </xf>
    <xf numFmtId="0" fontId="13" fillId="22" borderId="5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3" fillId="25" borderId="5" xfId="0" applyFont="1" applyFill="1" applyBorder="1" applyAlignment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10" fillId="37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61" fillId="26" borderId="0" xfId="0" applyFont="1" applyFill="1" applyAlignment="1">
      <alignment horizontal="center" vertical="center"/>
    </xf>
    <xf numFmtId="0" fontId="5" fillId="25" borderId="8" xfId="0" applyFont="1" applyFill="1" applyBorder="1"/>
    <xf numFmtId="0" fontId="29" fillId="25" borderId="8" xfId="0" applyFont="1" applyFill="1" applyBorder="1" applyAlignment="1">
      <alignment horizontal="center"/>
    </xf>
    <xf numFmtId="0" fontId="5" fillId="25" borderId="8" xfId="0" applyFont="1" applyFill="1" applyBorder="1" applyAlignment="1">
      <alignment horizontal="center" vertical="center"/>
    </xf>
    <xf numFmtId="189" fontId="68" fillId="0" borderId="1" xfId="0" applyNumberFormat="1" applyFont="1" applyBorder="1" applyAlignment="1">
      <alignment horizontal="left" vertical="center"/>
    </xf>
    <xf numFmtId="0" fontId="68" fillId="0" borderId="1" xfId="0" applyFont="1" applyBorder="1" applyAlignment="1">
      <alignment vertical="center"/>
    </xf>
    <xf numFmtId="0" fontId="77" fillId="0" borderId="0" xfId="0" applyFont="1"/>
    <xf numFmtId="0" fontId="15" fillId="22" borderId="8" xfId="0" applyFont="1" applyFill="1" applyBorder="1" applyAlignment="1">
      <alignment horizontal="center"/>
    </xf>
    <xf numFmtId="0" fontId="15" fillId="22" borderId="8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/>
    </xf>
    <xf numFmtId="0" fontId="15" fillId="22" borderId="4" xfId="0" applyFont="1" applyFill="1" applyBorder="1" applyAlignment="1">
      <alignment horizontal="center"/>
    </xf>
    <xf numFmtId="0" fontId="68" fillId="6" borderId="44" xfId="0" applyFont="1" applyFill="1" applyBorder="1" applyAlignment="1">
      <alignment horizontal="center"/>
    </xf>
    <xf numFmtId="0" fontId="6" fillId="0" borderId="45" xfId="0" applyFont="1" applyBorder="1"/>
    <xf numFmtId="0" fontId="6" fillId="0" borderId="23" xfId="0" applyFont="1" applyBorder="1"/>
    <xf numFmtId="0" fontId="68" fillId="26" borderId="41" xfId="0" applyFont="1" applyFill="1" applyBorder="1" applyAlignment="1">
      <alignment horizontal="center"/>
    </xf>
    <xf numFmtId="0" fontId="6" fillId="0" borderId="42" xfId="0" applyFont="1" applyBorder="1"/>
    <xf numFmtId="0" fontId="6" fillId="0" borderId="43" xfId="0" applyFont="1" applyBorder="1"/>
    <xf numFmtId="0" fontId="68" fillId="9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8" fillId="0" borderId="8" xfId="0" applyFont="1" applyBorder="1" applyAlignment="1">
      <alignment horizontal="center" vertical="center"/>
    </xf>
    <xf numFmtId="0" fontId="69" fillId="0" borderId="0" xfId="0" applyFont="1" applyAlignment="1">
      <alignment horizontal="left"/>
    </xf>
    <xf numFmtId="0" fontId="14" fillId="0" borderId="8" xfId="0" applyFont="1" applyBorder="1" applyAlignment="1">
      <alignment horizontal="center" vertical="center"/>
    </xf>
    <xf numFmtId="179" fontId="81" fillId="0" borderId="8" xfId="0" applyNumberFormat="1" applyFont="1" applyBorder="1" applyAlignment="1">
      <alignment horizontal="center" vertical="center"/>
    </xf>
    <xf numFmtId="0" fontId="6" fillId="0" borderId="51" xfId="0" applyFont="1" applyBorder="1"/>
    <xf numFmtId="179" fontId="81" fillId="0" borderId="13" xfId="0" applyNumberFormat="1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185" fontId="81" fillId="0" borderId="8" xfId="0" applyNumberFormat="1" applyFont="1" applyBorder="1" applyAlignment="1">
      <alignment horizontal="center" vertical="center"/>
    </xf>
  </cellXfs>
  <cellStyles count="1">
    <cellStyle name="표준" xfId="0" builtinId="0"/>
  </cellStyles>
  <dxfs count="3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9A9D"/>
          <bgColor rgb="FFF99A9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99A9D"/>
          <bgColor rgb="FFF99A9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99A9D"/>
          <bgColor rgb="FFF99A9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99A9D"/>
          <bgColor rgb="FFF99A9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99A9D"/>
          <bgColor rgb="FFF99A9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99A9D"/>
          <bgColor rgb="FFF99A9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99A9D"/>
          <bgColor rgb="FFF99A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171450</xdr:rowOff>
    </xdr:from>
    <xdr:ext cx="8963025" cy="1666875"/>
    <xdr:pic>
      <xdr:nvPicPr>
        <xdr:cNvPr id="2" name="image4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171450</xdr:rowOff>
    </xdr:from>
    <xdr:ext cx="8963025" cy="1666875"/>
    <xdr:pic>
      <xdr:nvPicPr>
        <xdr:cNvPr id="2" name="image4.png" title="이미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171450</xdr:rowOff>
    </xdr:from>
    <xdr:ext cx="8963025" cy="1666875"/>
    <xdr:pic>
      <xdr:nvPicPr>
        <xdr:cNvPr id="2" name="image4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171450</xdr:rowOff>
    </xdr:from>
    <xdr:ext cx="8963025" cy="1666875"/>
    <xdr:pic>
      <xdr:nvPicPr>
        <xdr:cNvPr id="2" name="image4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171450</xdr:rowOff>
    </xdr:from>
    <xdr:ext cx="8963025" cy="1666875"/>
    <xdr:pic>
      <xdr:nvPicPr>
        <xdr:cNvPr id="2" name="image4.png" title="이미지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85</xdr:row>
      <xdr:rowOff>66675</xdr:rowOff>
    </xdr:from>
    <xdr:ext cx="7781925" cy="28194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99</xdr:row>
      <xdr:rowOff>161925</xdr:rowOff>
    </xdr:from>
    <xdr:ext cx="9020175" cy="330517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116</xdr:row>
      <xdr:rowOff>104775</xdr:rowOff>
    </xdr:from>
    <xdr:ext cx="8553450" cy="2724150"/>
    <xdr:pic>
      <xdr:nvPicPr>
        <xdr:cNvPr id="4" name="image3.png" title="이미지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85</xdr:row>
      <xdr:rowOff>114300</xdr:rowOff>
    </xdr:from>
    <xdr:ext cx="4533900" cy="1304925"/>
    <xdr:pic>
      <xdr:nvPicPr>
        <xdr:cNvPr id="5" name="image6.png" title="이미지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</xdr:colOff>
      <xdr:row>85</xdr:row>
      <xdr:rowOff>190500</xdr:rowOff>
    </xdr:from>
    <xdr:ext cx="6467475" cy="2095500"/>
    <xdr:pic>
      <xdr:nvPicPr>
        <xdr:cNvPr id="6" name="image5.png" title="이미지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85</xdr:row>
      <xdr:rowOff>66675</xdr:rowOff>
    </xdr:from>
    <xdr:ext cx="7781925" cy="28194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99</xdr:row>
      <xdr:rowOff>161925</xdr:rowOff>
    </xdr:from>
    <xdr:ext cx="9020175" cy="330517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116</xdr:row>
      <xdr:rowOff>104775</xdr:rowOff>
    </xdr:from>
    <xdr:ext cx="8553450" cy="2724150"/>
    <xdr:pic>
      <xdr:nvPicPr>
        <xdr:cNvPr id="4" name="image3.png" title="이미지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85</xdr:row>
      <xdr:rowOff>66675</xdr:rowOff>
    </xdr:from>
    <xdr:ext cx="7781925" cy="28194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99</xdr:row>
      <xdr:rowOff>161925</xdr:rowOff>
    </xdr:from>
    <xdr:ext cx="9020175" cy="330517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116</xdr:row>
      <xdr:rowOff>104775</xdr:rowOff>
    </xdr:from>
    <xdr:ext cx="8553450" cy="2724150"/>
    <xdr:pic>
      <xdr:nvPicPr>
        <xdr:cNvPr id="4" name="image3.png" title="이미지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88</xdr:row>
      <xdr:rowOff>66675</xdr:rowOff>
    </xdr:from>
    <xdr:ext cx="7781925" cy="28194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102</xdr:row>
      <xdr:rowOff>161925</xdr:rowOff>
    </xdr:from>
    <xdr:ext cx="9020175" cy="330517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119</xdr:row>
      <xdr:rowOff>104775</xdr:rowOff>
    </xdr:from>
    <xdr:ext cx="8553450" cy="2724150"/>
    <xdr:pic>
      <xdr:nvPicPr>
        <xdr:cNvPr id="4" name="image3.png" title="이미지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85</xdr:row>
      <xdr:rowOff>190500</xdr:rowOff>
    </xdr:from>
    <xdr:ext cx="13887450" cy="4486275"/>
    <xdr:pic>
      <xdr:nvPicPr>
        <xdr:cNvPr id="2" name="image8.png" title="이미지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352425</xdr:colOff>
      <xdr:row>85</xdr:row>
      <xdr:rowOff>190500</xdr:rowOff>
    </xdr:from>
    <xdr:ext cx="4876800" cy="1657350"/>
    <xdr:pic>
      <xdr:nvPicPr>
        <xdr:cNvPr id="3" name="image9.png" title="이미지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352425</xdr:colOff>
      <xdr:row>94</xdr:row>
      <xdr:rowOff>123825</xdr:rowOff>
    </xdr:from>
    <xdr:ext cx="5124450" cy="1800225"/>
    <xdr:pic>
      <xdr:nvPicPr>
        <xdr:cNvPr id="4" name="image7.png" title="이미지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85</xdr:row>
      <xdr:rowOff>190500</xdr:rowOff>
    </xdr:from>
    <xdr:ext cx="13887450" cy="4486275"/>
    <xdr:pic>
      <xdr:nvPicPr>
        <xdr:cNvPr id="2" name="image8.png" title="이미지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352425</xdr:colOff>
      <xdr:row>85</xdr:row>
      <xdr:rowOff>190500</xdr:rowOff>
    </xdr:from>
    <xdr:ext cx="4876800" cy="1657350"/>
    <xdr:pic>
      <xdr:nvPicPr>
        <xdr:cNvPr id="3" name="image9.png" title="이미지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352425</xdr:colOff>
      <xdr:row>94</xdr:row>
      <xdr:rowOff>123825</xdr:rowOff>
    </xdr:from>
    <xdr:ext cx="5124450" cy="1800225"/>
    <xdr:pic>
      <xdr:nvPicPr>
        <xdr:cNvPr id="4" name="image7.png" title="이미지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171450</xdr:rowOff>
    </xdr:from>
    <xdr:ext cx="14754225" cy="6781800"/>
    <xdr:pic>
      <xdr:nvPicPr>
        <xdr:cNvPr id="2" name="image10.png" title="이미지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7</xdr:row>
      <xdr:rowOff>76200</xdr:rowOff>
    </xdr:from>
    <xdr:ext cx="8953500" cy="3743325"/>
    <xdr:pic>
      <xdr:nvPicPr>
        <xdr:cNvPr id="2" name="image11.png" title="이미지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A8AC6"/>
    <outlinePr summaryBelow="0" summaryRight="0"/>
  </sheetPr>
  <dimension ref="A1:AH993"/>
  <sheetViews>
    <sheetView topLeftCell="F1" workbookViewId="0">
      <selection activeCell="K12" sqref="K12"/>
    </sheetView>
  </sheetViews>
  <sheetFormatPr defaultColWidth="14.42578125" defaultRowHeight="15.75" customHeight="1" outlineLevelRow="1"/>
  <cols>
    <col min="1" max="1" width="7.7109375" bestFit="1" customWidth="1"/>
    <col min="2" max="2" width="5.28515625" bestFit="1" customWidth="1"/>
    <col min="3" max="3" width="16.28515625" bestFit="1" customWidth="1"/>
    <col min="4" max="4" width="11.5703125" bestFit="1" customWidth="1"/>
    <col min="5" max="5" width="25.7109375" bestFit="1" customWidth="1"/>
    <col min="6" max="6" width="15.5703125" bestFit="1" customWidth="1"/>
    <col min="7" max="7" width="12.7109375" bestFit="1" customWidth="1"/>
    <col min="8" max="8" width="10.5703125" bestFit="1" customWidth="1"/>
    <col min="9" max="9" width="15.42578125" customWidth="1"/>
    <col min="10" max="10" width="44.85546875" bestFit="1" customWidth="1"/>
    <col min="11" max="11" width="7.7109375" bestFit="1" customWidth="1"/>
    <col min="12" max="12" width="15.140625" bestFit="1" customWidth="1"/>
    <col min="13" max="13" width="40" bestFit="1" customWidth="1"/>
    <col min="14" max="17" width="17.42578125" bestFit="1" customWidth="1"/>
    <col min="18" max="18" width="15.140625" bestFit="1" customWidth="1"/>
    <col min="19" max="20" width="17.42578125" bestFit="1" customWidth="1"/>
    <col min="21" max="23" width="19.140625" bestFit="1" customWidth="1"/>
    <col min="24" max="24" width="17.42578125" bestFit="1" customWidth="1"/>
    <col min="25" max="30" width="15.140625" bestFit="1" customWidth="1"/>
    <col min="31" max="31" width="8.85546875" bestFit="1" customWidth="1"/>
    <col min="32" max="33" width="7.85546875" bestFit="1" customWidth="1"/>
    <col min="34" max="34" width="8.42578125" bestFit="1" customWidth="1"/>
  </cols>
  <sheetData>
    <row r="1" spans="1:34" ht="15">
      <c r="A1" s="1"/>
      <c r="B1" s="1"/>
      <c r="C1" s="1"/>
      <c r="D1" s="1"/>
      <c r="E1" s="2"/>
      <c r="F1" s="2"/>
      <c r="G1" s="2"/>
      <c r="H1" s="2"/>
      <c r="I1" s="1"/>
      <c r="J1" s="1"/>
      <c r="K1" s="3"/>
      <c r="L1" s="3"/>
      <c r="AF1" s="4"/>
      <c r="AG1" s="4"/>
    </row>
    <row r="2" spans="1:34" ht="17.25">
      <c r="A2" s="1"/>
      <c r="B2" s="1"/>
      <c r="C2" s="1"/>
      <c r="D2" s="1"/>
      <c r="E2" s="2"/>
      <c r="F2" s="2"/>
      <c r="G2" s="2"/>
      <c r="H2" s="2"/>
      <c r="I2" s="5"/>
      <c r="J2" s="5" t="s">
        <v>3</v>
      </c>
      <c r="K2" s="3"/>
      <c r="L2" s="3"/>
      <c r="AF2" s="4"/>
      <c r="AG2" s="4"/>
    </row>
    <row r="3" spans="1:34" ht="15">
      <c r="A3" s="1"/>
      <c r="B3" s="1"/>
      <c r="C3" s="1"/>
      <c r="D3" s="1"/>
      <c r="E3" s="2"/>
      <c r="F3" s="2"/>
      <c r="G3" s="2"/>
      <c r="H3" s="2"/>
      <c r="I3" s="6"/>
      <c r="J3" s="6"/>
      <c r="K3" s="3"/>
      <c r="L3" s="3"/>
      <c r="AF3" s="4"/>
      <c r="AG3" s="4"/>
    </row>
    <row r="4" spans="1:34" ht="15">
      <c r="A4" s="1"/>
      <c r="B4" s="1"/>
      <c r="C4" s="1"/>
      <c r="D4" s="1"/>
      <c r="E4" s="2" t="s">
        <v>4</v>
      </c>
      <c r="F4" s="2"/>
      <c r="G4" s="2"/>
      <c r="H4" s="2"/>
      <c r="I4" s="6"/>
      <c r="J4" s="6">
        <v>1700</v>
      </c>
      <c r="K4" s="3"/>
      <c r="L4" s="3"/>
      <c r="Q4" s="7">
        <v>2026</v>
      </c>
      <c r="V4" s="8"/>
      <c r="W4" s="8"/>
      <c r="AA4" s="9">
        <v>12672</v>
      </c>
      <c r="AB4" s="7"/>
      <c r="AF4" s="4"/>
      <c r="AG4" s="4"/>
    </row>
    <row r="5" spans="1:34" ht="15">
      <c r="A5" s="859" t="s">
        <v>6</v>
      </c>
      <c r="B5" s="860"/>
      <c r="C5" s="10" t="s">
        <v>7</v>
      </c>
      <c r="D5" s="11" t="s">
        <v>8</v>
      </c>
      <c r="E5" s="12" t="s">
        <v>9</v>
      </c>
      <c r="F5" s="12" t="s">
        <v>10</v>
      </c>
      <c r="G5" s="13" t="s">
        <v>11</v>
      </c>
      <c r="H5" s="13" t="s">
        <v>12</v>
      </c>
      <c r="I5" s="6"/>
      <c r="J5" s="861" t="s">
        <v>13</v>
      </c>
      <c r="K5" s="862"/>
      <c r="L5" s="863"/>
      <c r="M5" s="14" t="s">
        <v>14</v>
      </c>
      <c r="N5" s="15" t="s">
        <v>15</v>
      </c>
      <c r="O5" s="15" t="s">
        <v>16</v>
      </c>
      <c r="P5" s="15" t="s">
        <v>17</v>
      </c>
      <c r="Q5" s="15" t="s">
        <v>18</v>
      </c>
      <c r="R5" s="15" t="s">
        <v>19</v>
      </c>
      <c r="S5" s="15" t="s">
        <v>20</v>
      </c>
      <c r="T5" s="15" t="s">
        <v>21</v>
      </c>
      <c r="U5" s="15" t="s">
        <v>22</v>
      </c>
      <c r="V5" s="15" t="s">
        <v>23</v>
      </c>
      <c r="W5" s="15" t="s">
        <v>24</v>
      </c>
      <c r="X5" s="16" t="s">
        <v>25</v>
      </c>
      <c r="Y5" s="17" t="s">
        <v>26</v>
      </c>
      <c r="Z5" s="15" t="s">
        <v>15</v>
      </c>
      <c r="AA5" s="15" t="s">
        <v>16</v>
      </c>
      <c r="AB5" s="15" t="s">
        <v>17</v>
      </c>
      <c r="AC5" s="15" t="s">
        <v>18</v>
      </c>
      <c r="AD5" s="16" t="s">
        <v>19</v>
      </c>
      <c r="AE5" s="19" t="s">
        <v>20</v>
      </c>
      <c r="AF5" s="18" t="s">
        <v>21</v>
      </c>
      <c r="AG5" s="18" t="s">
        <v>22</v>
      </c>
      <c r="AH5" s="18" t="s">
        <v>23</v>
      </c>
    </row>
    <row r="6" spans="1:34" ht="15">
      <c r="A6" s="864" t="s">
        <v>27</v>
      </c>
      <c r="B6" s="20">
        <v>1</v>
      </c>
      <c r="C6" s="21">
        <v>33</v>
      </c>
      <c r="D6" s="867">
        <f>SUM(C6:C8)</f>
        <v>44</v>
      </c>
      <c r="E6" s="22">
        <f>D6/22</f>
        <v>2</v>
      </c>
      <c r="F6" s="23">
        <f t="shared" ref="F6:F11" si="0">AVERAGE(T19:V19)/4</f>
        <v>1901</v>
      </c>
      <c r="G6" s="22">
        <v>1500</v>
      </c>
      <c r="H6" s="22">
        <f t="shared" ref="H6:H11" si="1">AD6/4</f>
        <v>4752</v>
      </c>
      <c r="I6" s="6"/>
      <c r="J6" s="868" t="s">
        <v>28</v>
      </c>
      <c r="K6" s="25">
        <v>676366</v>
      </c>
      <c r="L6" s="26" t="s">
        <v>29</v>
      </c>
      <c r="M6" s="28">
        <v>12308</v>
      </c>
      <c r="N6" s="29"/>
      <c r="O6" s="29">
        <v>6072</v>
      </c>
      <c r="P6" s="29">
        <v>7488</v>
      </c>
      <c r="Q6" s="29">
        <v>11520</v>
      </c>
      <c r="R6" s="29"/>
      <c r="S6" s="29">
        <v>11948</v>
      </c>
      <c r="T6" s="29"/>
      <c r="U6" s="29">
        <v>44008</v>
      </c>
      <c r="V6" s="29">
        <v>11572</v>
      </c>
      <c r="W6" s="29">
        <v>13320</v>
      </c>
      <c r="X6" s="30"/>
      <c r="Y6" s="31"/>
      <c r="Z6" s="29"/>
      <c r="AA6" s="29">
        <f>12672-4600</f>
        <v>8072</v>
      </c>
      <c r="AB6" s="29"/>
      <c r="AC6" s="32">
        <f>6366+4600</f>
        <v>10966</v>
      </c>
      <c r="AD6" s="30">
        <f t="shared" ref="AD6:AD8" si="2">C6*144*4</f>
        <v>19008</v>
      </c>
      <c r="AE6" s="35"/>
      <c r="AF6" s="36"/>
      <c r="AG6" s="37"/>
      <c r="AH6" s="37"/>
    </row>
    <row r="7" spans="1:34" ht="15">
      <c r="A7" s="865"/>
      <c r="B7" s="20">
        <v>2</v>
      </c>
      <c r="C7" s="21">
        <v>11</v>
      </c>
      <c r="D7" s="865"/>
      <c r="E7" s="22"/>
      <c r="F7" s="23">
        <f t="shared" si="0"/>
        <v>718.58333333333337</v>
      </c>
      <c r="G7" s="22">
        <v>1500</v>
      </c>
      <c r="H7" s="22">
        <f t="shared" si="1"/>
        <v>1584</v>
      </c>
      <c r="I7" s="6"/>
      <c r="J7" s="869"/>
      <c r="K7" s="25">
        <v>676367</v>
      </c>
      <c r="L7" s="26" t="s">
        <v>30</v>
      </c>
      <c r="M7" s="28">
        <v>5948</v>
      </c>
      <c r="N7" s="29">
        <v>6336</v>
      </c>
      <c r="O7" s="29">
        <v>432</v>
      </c>
      <c r="P7" s="29">
        <v>6252</v>
      </c>
      <c r="Q7" s="29">
        <v>1152</v>
      </c>
      <c r="R7" s="29"/>
      <c r="S7" s="38">
        <v>7080</v>
      </c>
      <c r="T7" s="39">
        <v>6336</v>
      </c>
      <c r="U7" s="39">
        <v>8064</v>
      </c>
      <c r="V7" s="39"/>
      <c r="W7" s="39">
        <v>17088</v>
      </c>
      <c r="X7" s="40">
        <v>6772</v>
      </c>
      <c r="Y7" s="41"/>
      <c r="Z7" s="29"/>
      <c r="AA7" s="29"/>
      <c r="AB7" s="39"/>
      <c r="AC7" s="42">
        <v>6336</v>
      </c>
      <c r="AD7" s="30">
        <f t="shared" si="2"/>
        <v>6336</v>
      </c>
      <c r="AE7" s="43"/>
      <c r="AF7" s="36"/>
      <c r="AG7" s="37"/>
      <c r="AH7" s="37"/>
    </row>
    <row r="8" spans="1:34" ht="15">
      <c r="A8" s="866"/>
      <c r="B8" s="20">
        <v>3</v>
      </c>
      <c r="C8" s="21">
        <v>0</v>
      </c>
      <c r="D8" s="866"/>
      <c r="E8" s="22"/>
      <c r="F8" s="23">
        <f t="shared" si="0"/>
        <v>340</v>
      </c>
      <c r="G8" s="22">
        <v>1500</v>
      </c>
      <c r="H8" s="22">
        <f t="shared" si="1"/>
        <v>0</v>
      </c>
      <c r="I8" s="6"/>
      <c r="J8" s="869"/>
      <c r="K8" s="46">
        <v>676369</v>
      </c>
      <c r="L8" s="47" t="s">
        <v>31</v>
      </c>
      <c r="M8" s="28"/>
      <c r="N8" s="29">
        <v>6212</v>
      </c>
      <c r="O8" s="29"/>
      <c r="P8" s="29"/>
      <c r="Q8" s="29"/>
      <c r="R8" s="29"/>
      <c r="S8" s="29"/>
      <c r="T8" s="29"/>
      <c r="U8" s="29">
        <v>6912</v>
      </c>
      <c r="V8" s="29"/>
      <c r="W8" s="29">
        <v>332</v>
      </c>
      <c r="X8" s="30">
        <v>5760</v>
      </c>
      <c r="Y8" s="31"/>
      <c r="Z8" s="29"/>
      <c r="AA8" s="29"/>
      <c r="AB8" s="29"/>
      <c r="AC8" s="49"/>
      <c r="AD8" s="30">
        <f t="shared" si="2"/>
        <v>0</v>
      </c>
      <c r="AE8" s="43"/>
      <c r="AF8" s="36"/>
      <c r="AG8" s="37"/>
      <c r="AH8" s="37"/>
    </row>
    <row r="9" spans="1:34" ht="15">
      <c r="A9" s="871" t="s">
        <v>32</v>
      </c>
      <c r="B9" s="50">
        <v>1</v>
      </c>
      <c r="C9" s="51">
        <v>150</v>
      </c>
      <c r="D9" s="872">
        <f>SUM(C9:C11)</f>
        <v>240</v>
      </c>
      <c r="E9" s="22">
        <f>D9/24</f>
        <v>10</v>
      </c>
      <c r="F9" s="23">
        <f t="shared" si="0"/>
        <v>6009.5</v>
      </c>
      <c r="G9" s="22">
        <v>2120</v>
      </c>
      <c r="H9" s="22">
        <f t="shared" si="1"/>
        <v>14400</v>
      </c>
      <c r="I9" s="6"/>
      <c r="J9" s="869"/>
      <c r="K9" s="52">
        <v>677211</v>
      </c>
      <c r="L9" s="53" t="s">
        <v>33</v>
      </c>
      <c r="M9" s="28">
        <v>9216</v>
      </c>
      <c r="N9" s="29">
        <v>16512</v>
      </c>
      <c r="O9" s="29">
        <v>24300</v>
      </c>
      <c r="P9" s="29"/>
      <c r="Q9" s="29">
        <v>60572</v>
      </c>
      <c r="R9" s="29">
        <v>21560</v>
      </c>
      <c r="S9" s="29">
        <v>23808</v>
      </c>
      <c r="T9" s="29"/>
      <c r="U9" s="29">
        <v>39428</v>
      </c>
      <c r="V9" s="29">
        <v>20880</v>
      </c>
      <c r="W9" s="29">
        <v>14968</v>
      </c>
      <c r="X9" s="30">
        <v>18432</v>
      </c>
      <c r="Y9" s="54">
        <v>79960</v>
      </c>
      <c r="Z9" s="55">
        <v>20352</v>
      </c>
      <c r="AA9" s="29">
        <v>48000</v>
      </c>
      <c r="AB9" s="29">
        <v>28416</v>
      </c>
      <c r="AC9" s="42">
        <v>76416</v>
      </c>
      <c r="AD9" s="30">
        <f t="shared" ref="AD9:AD11" si="3">C9*96*4</f>
        <v>57600</v>
      </c>
      <c r="AE9" s="43"/>
      <c r="AF9" s="36"/>
      <c r="AG9" s="37"/>
      <c r="AH9" s="37"/>
    </row>
    <row r="10" spans="1:34" ht="15">
      <c r="A10" s="865"/>
      <c r="B10" s="50">
        <v>2</v>
      </c>
      <c r="C10" s="51">
        <v>90</v>
      </c>
      <c r="D10" s="865"/>
      <c r="E10" s="22"/>
      <c r="F10" s="23">
        <f t="shared" si="0"/>
        <v>3391.3333333333335</v>
      </c>
      <c r="G10" s="22">
        <v>2280</v>
      </c>
      <c r="H10" s="22">
        <f t="shared" si="1"/>
        <v>8640</v>
      </c>
      <c r="I10" s="6"/>
      <c r="J10" s="869"/>
      <c r="K10" s="52">
        <v>677200</v>
      </c>
      <c r="L10" s="53" t="s">
        <v>34</v>
      </c>
      <c r="M10" s="28"/>
      <c r="N10" s="29"/>
      <c r="O10" s="29">
        <v>12432</v>
      </c>
      <c r="P10" s="29"/>
      <c r="Q10" s="29">
        <v>30336</v>
      </c>
      <c r="R10" s="29">
        <v>21584</v>
      </c>
      <c r="S10" s="29"/>
      <c r="T10" s="39">
        <v>6528</v>
      </c>
      <c r="U10" s="39"/>
      <c r="V10" s="39"/>
      <c r="W10" s="39">
        <v>46080</v>
      </c>
      <c r="X10" s="40">
        <v>9216</v>
      </c>
      <c r="Y10" s="54">
        <v>26216</v>
      </c>
      <c r="Z10" s="55">
        <v>11520</v>
      </c>
      <c r="AA10" s="55">
        <v>24896</v>
      </c>
      <c r="AB10" s="55">
        <v>11136</v>
      </c>
      <c r="AC10" s="42">
        <v>26880</v>
      </c>
      <c r="AD10" s="30">
        <f t="shared" si="3"/>
        <v>34560</v>
      </c>
      <c r="AE10" s="43"/>
      <c r="AF10" s="36"/>
      <c r="AG10" s="37"/>
      <c r="AH10" s="37"/>
    </row>
    <row r="11" spans="1:34" ht="15">
      <c r="A11" s="866"/>
      <c r="B11" s="50">
        <v>3</v>
      </c>
      <c r="C11" s="51">
        <v>0</v>
      </c>
      <c r="D11" s="866"/>
      <c r="E11" s="22"/>
      <c r="F11" s="23">
        <f t="shared" si="0"/>
        <v>648.91666666666663</v>
      </c>
      <c r="G11" s="22">
        <v>1880</v>
      </c>
      <c r="H11" s="22">
        <f t="shared" si="1"/>
        <v>0</v>
      </c>
      <c r="I11" s="6"/>
      <c r="J11" s="869"/>
      <c r="K11" s="56">
        <v>677281</v>
      </c>
      <c r="L11" s="57" t="s">
        <v>35</v>
      </c>
      <c r="M11" s="28"/>
      <c r="N11" s="29"/>
      <c r="O11" s="29">
        <v>8832</v>
      </c>
      <c r="P11" s="29"/>
      <c r="Q11" s="29">
        <v>232</v>
      </c>
      <c r="R11" s="29">
        <v>10688</v>
      </c>
      <c r="S11" s="29"/>
      <c r="T11" s="29"/>
      <c r="U11" s="29"/>
      <c r="V11" s="29"/>
      <c r="W11" s="29">
        <v>4592</v>
      </c>
      <c r="X11" s="30"/>
      <c r="Y11" s="31">
        <v>2424</v>
      </c>
      <c r="Z11" s="39"/>
      <c r="AA11" s="39">
        <v>7520</v>
      </c>
      <c r="AB11" s="29">
        <v>4224</v>
      </c>
      <c r="AC11" s="42">
        <v>7296</v>
      </c>
      <c r="AD11" s="30">
        <f t="shared" si="3"/>
        <v>0</v>
      </c>
      <c r="AE11" s="43"/>
      <c r="AF11" s="36"/>
      <c r="AG11" s="37"/>
      <c r="AH11" s="37"/>
    </row>
    <row r="12" spans="1:34" ht="15">
      <c r="A12" s="1"/>
      <c r="B12" s="1"/>
      <c r="C12" s="1"/>
      <c r="D12" s="1"/>
      <c r="E12" s="2"/>
      <c r="F12" s="2"/>
      <c r="G12" s="2"/>
      <c r="H12" s="2"/>
      <c r="I12" s="6"/>
      <c r="J12" s="869"/>
      <c r="K12" s="58">
        <v>560277</v>
      </c>
      <c r="L12" s="59" t="s">
        <v>36</v>
      </c>
      <c r="M12" s="28"/>
      <c r="N12" s="29"/>
      <c r="O12" s="29"/>
      <c r="P12" s="29">
        <v>6912</v>
      </c>
      <c r="Q12" s="29"/>
      <c r="R12" s="29">
        <v>5208</v>
      </c>
      <c r="S12" s="29"/>
      <c r="T12" s="29"/>
      <c r="U12" s="29">
        <v>11628</v>
      </c>
      <c r="V12" s="29">
        <v>11796</v>
      </c>
      <c r="W12" s="29"/>
      <c r="X12" s="30"/>
      <c r="Y12" s="31"/>
      <c r="Z12" s="29"/>
      <c r="AA12" s="29"/>
      <c r="AB12" s="29"/>
      <c r="AC12" s="29"/>
      <c r="AD12" s="30"/>
      <c r="AE12" s="43"/>
      <c r="AF12" s="36"/>
      <c r="AG12" s="37"/>
      <c r="AH12" s="37"/>
    </row>
    <row r="13" spans="1:34" ht="15">
      <c r="A13" s="1"/>
      <c r="B13" s="1"/>
      <c r="D13" s="1"/>
      <c r="E13" s="2"/>
      <c r="F13" s="2"/>
      <c r="G13" s="2"/>
      <c r="H13" s="2"/>
      <c r="I13" s="6"/>
      <c r="J13" s="869"/>
      <c r="K13" s="873" t="s">
        <v>38</v>
      </c>
      <c r="L13" s="870"/>
      <c r="M13" s="61">
        <f t="shared" ref="M13:AG13" si="4">SUM(M6:M12)</f>
        <v>27472</v>
      </c>
      <c r="N13" s="61">
        <f t="shared" si="4"/>
        <v>29060</v>
      </c>
      <c r="O13" s="61">
        <f t="shared" si="4"/>
        <v>52068</v>
      </c>
      <c r="P13" s="61">
        <f t="shared" si="4"/>
        <v>20652</v>
      </c>
      <c r="Q13" s="61">
        <f t="shared" si="4"/>
        <v>103812</v>
      </c>
      <c r="R13" s="61">
        <f t="shared" si="4"/>
        <v>59040</v>
      </c>
      <c r="S13" s="61">
        <f t="shared" si="4"/>
        <v>42836</v>
      </c>
      <c r="T13" s="61">
        <f t="shared" si="4"/>
        <v>12864</v>
      </c>
      <c r="U13" s="61">
        <f t="shared" si="4"/>
        <v>110040</v>
      </c>
      <c r="V13" s="61">
        <f t="shared" si="4"/>
        <v>44248</v>
      </c>
      <c r="W13" s="61">
        <f t="shared" si="4"/>
        <v>96380</v>
      </c>
      <c r="X13" s="62">
        <f t="shared" si="4"/>
        <v>40180</v>
      </c>
      <c r="Y13" s="63">
        <f t="shared" si="4"/>
        <v>108600</v>
      </c>
      <c r="Z13" s="61">
        <f t="shared" si="4"/>
        <v>31872</v>
      </c>
      <c r="AA13" s="61">
        <f t="shared" si="4"/>
        <v>88488</v>
      </c>
      <c r="AB13" s="61">
        <f t="shared" si="4"/>
        <v>43776</v>
      </c>
      <c r="AC13" s="61">
        <f t="shared" si="4"/>
        <v>127894</v>
      </c>
      <c r="AD13" s="62">
        <f t="shared" si="4"/>
        <v>117504</v>
      </c>
      <c r="AE13" s="64">
        <f t="shared" si="4"/>
        <v>0</v>
      </c>
      <c r="AF13" s="65">
        <f t="shared" si="4"/>
        <v>0</v>
      </c>
      <c r="AG13" s="66">
        <f t="shared" si="4"/>
        <v>0</v>
      </c>
      <c r="AH13" s="66"/>
    </row>
    <row r="14" spans="1:34" ht="15">
      <c r="A14" s="1"/>
      <c r="B14" s="1"/>
      <c r="C14" s="67"/>
      <c r="D14" s="1"/>
      <c r="E14" s="2"/>
      <c r="F14" s="2"/>
      <c r="G14" s="2"/>
      <c r="H14" s="2"/>
      <c r="I14" s="6"/>
      <c r="J14" s="869"/>
      <c r="K14" s="873" t="s">
        <v>39</v>
      </c>
      <c r="L14" s="870"/>
      <c r="M14" s="68">
        <f>금액!E11</f>
        <v>445720200.15999997</v>
      </c>
      <c r="N14" s="68">
        <f>금액!F11</f>
        <v>306576478.99999994</v>
      </c>
      <c r="O14" s="68">
        <f>금액!G11</f>
        <v>159696992.04000002</v>
      </c>
      <c r="P14" s="68">
        <f>금액!H11</f>
        <v>335394437.64000005</v>
      </c>
      <c r="Q14" s="68">
        <f>금액!I11</f>
        <v>311194418.75999999</v>
      </c>
      <c r="R14" s="68">
        <f>금액!J11</f>
        <v>1208753.52</v>
      </c>
      <c r="S14" s="68">
        <f>금액!K11</f>
        <v>464871513.08000004</v>
      </c>
      <c r="T14" s="68">
        <f>금액!L11</f>
        <v>154764443.52000001</v>
      </c>
      <c r="U14" s="68">
        <f>금액!M11</f>
        <v>1440435218.9199998</v>
      </c>
      <c r="V14" s="68">
        <f>금액!N11</f>
        <v>1118482806.28</v>
      </c>
      <c r="W14" s="68">
        <f>VLOOKUP($K6,단가!$B$2:$E$55,4,0)*SUM(W6:W8)+21.33*SUM(W9:W11)+VLOOKUP($K12,단가!$B$2:$E$55,4,0)*W12</f>
        <v>751586131.39999998</v>
      </c>
      <c r="X14" s="69">
        <f>VLOOKUP($K6,단가!$B$2:$E$55,4,0)*SUM(X6:X8)+21.33*SUM(X9:X11)+VLOOKUP($K12,단가!$B$2:$E$55,4,0)*X12</f>
        <v>306423542.19999999</v>
      </c>
      <c r="Y14" s="71">
        <f>VLOOKUP($K6,단가!$B$2:$E$55,4,0)*SUM(Y6:Y8)+21.69*SUM(Y9:Y11)+VLOOKUP($K12,단가!$B$2:$E$55,4,0)*Y12</f>
        <v>2355534</v>
      </c>
      <c r="Z14" s="68">
        <f>VLOOKUP($K6,단가!$B$2:$E$55,4,0)*SUM(Z6:Z8)+VLOOKUP($K9,단가!$B$2:$E$55,4,0)*SUM(Z9:Z11)+VLOOKUP($K12,단가!$B$2:$E$55,4,0)*Z12</f>
        <v>1276009543.6800001</v>
      </c>
      <c r="AA14" s="68">
        <f>VLOOKUP($K6,단가!$B$2:$E$55,4,0)*SUM(AA6:AA8)+VLOOKUP($K9,단가!$B$2:$E$55,4,0)*SUM(AA9:AA11)+VLOOKUP($K12,단가!$B$2:$E$55,4,0)*AA12</f>
        <v>3416480887.5999999</v>
      </c>
      <c r="AB14" s="68">
        <f>VLOOKUP($K6,단가!$B$2:$E$55,4,0)*SUM(AB6:AB8)+VLOOKUP($K9,단가!$B$2:$E$55,4,0)*SUM(AB9:AB11)+VLOOKUP($K12,단가!$B$2:$E$55,4,0)*AB12</f>
        <v>1752591421.4400001</v>
      </c>
      <c r="AC14" s="68">
        <f>VLOOKUP($K6,단가!$B$2:$E$55,4,0)*SUM(AC6:AC8)+VLOOKUP($K9,단가!$B$2:$E$55,4,0)*SUM(AC9:AC11)+VLOOKUP($K12,단가!$B$2:$E$55,4,0)*AC12</f>
        <v>4849841367.9400005</v>
      </c>
      <c r="AD14" s="69">
        <f>VLOOKUP($K6,단가!$B$2:$E$55,4,0)*SUM(AD6:AD8)+VLOOKUP($K9,단가!$B$2:$E$55,4,0)*SUM(AD9:AD11)+VLOOKUP($K12,단가!$B$2:$E$55,4,0)*AD12</f>
        <v>4308166955.5200005</v>
      </c>
      <c r="AE14" s="71">
        <f>금액!W11</f>
        <v>0</v>
      </c>
      <c r="AF14" s="70">
        <f>금액!X11</f>
        <v>0</v>
      </c>
      <c r="AG14" s="70">
        <f>금액!Y11</f>
        <v>0</v>
      </c>
      <c r="AH14" s="70"/>
    </row>
    <row r="15" spans="1:34" ht="15">
      <c r="A15" s="1"/>
      <c r="B15" s="1"/>
      <c r="C15" s="67"/>
      <c r="D15" s="1"/>
      <c r="E15" s="2"/>
      <c r="F15" s="2"/>
      <c r="G15" s="2"/>
      <c r="H15" s="2"/>
      <c r="I15" s="6"/>
      <c r="J15" s="870"/>
      <c r="K15" s="873" t="s">
        <v>40</v>
      </c>
      <c r="L15" s="870"/>
      <c r="M15" s="68">
        <f t="shared" ref="M15:Y15" si="5">M14*$J$4</f>
        <v>757724340272</v>
      </c>
      <c r="N15" s="68">
        <f t="shared" si="5"/>
        <v>521180014299.99988</v>
      </c>
      <c r="O15" s="68">
        <f t="shared" si="5"/>
        <v>271484886468.00003</v>
      </c>
      <c r="P15" s="68">
        <f t="shared" si="5"/>
        <v>570170543988.00012</v>
      </c>
      <c r="Q15" s="68">
        <f t="shared" si="5"/>
        <v>529030511892</v>
      </c>
      <c r="R15" s="68">
        <f t="shared" si="5"/>
        <v>2054880984</v>
      </c>
      <c r="S15" s="68">
        <f t="shared" si="5"/>
        <v>790281572236.00012</v>
      </c>
      <c r="T15" s="68">
        <f t="shared" si="5"/>
        <v>263099553984.00003</v>
      </c>
      <c r="U15" s="68">
        <f t="shared" si="5"/>
        <v>2448739872163.9995</v>
      </c>
      <c r="V15" s="68">
        <f t="shared" si="5"/>
        <v>1901420770676</v>
      </c>
      <c r="W15" s="68">
        <f t="shared" si="5"/>
        <v>1277696423380</v>
      </c>
      <c r="X15" s="72">
        <f t="shared" si="5"/>
        <v>520920021740</v>
      </c>
      <c r="Y15" s="71">
        <f t="shared" si="5"/>
        <v>4004407800</v>
      </c>
      <c r="Z15" s="68"/>
      <c r="AA15" s="68"/>
      <c r="AB15" s="68"/>
      <c r="AC15" s="68"/>
      <c r="AD15" s="72"/>
      <c r="AE15" s="71">
        <f t="shared" ref="AE15:AG15" si="6">AE14*$J$4</f>
        <v>0</v>
      </c>
      <c r="AF15" s="70">
        <f t="shared" si="6"/>
        <v>0</v>
      </c>
      <c r="AG15" s="70">
        <f t="shared" si="6"/>
        <v>0</v>
      </c>
      <c r="AH15" s="70"/>
    </row>
    <row r="16" spans="1:34" ht="15">
      <c r="A16" s="1"/>
      <c r="B16" s="1"/>
      <c r="C16" s="67"/>
      <c r="D16" s="1"/>
      <c r="E16" s="2"/>
      <c r="F16" s="2"/>
      <c r="G16" s="2"/>
      <c r="H16" s="2"/>
      <c r="I16" s="6"/>
      <c r="J16" s="73"/>
      <c r="K16" s="73"/>
      <c r="L16" s="73"/>
      <c r="P16" s="74"/>
      <c r="Q16" s="74"/>
      <c r="R16" s="74"/>
      <c r="S16" s="74"/>
      <c r="T16" s="75"/>
      <c r="U16" s="75"/>
      <c r="V16" s="3"/>
      <c r="W16" s="3"/>
      <c r="Y16" s="74"/>
      <c r="Z16" s="74"/>
      <c r="AA16" s="74"/>
      <c r="AB16" s="74"/>
      <c r="AG16" s="4"/>
      <c r="AH16" s="4"/>
    </row>
    <row r="17" spans="1:34" ht="15" collapsed="1">
      <c r="A17" s="1"/>
      <c r="B17" s="1"/>
      <c r="C17" s="67"/>
      <c r="D17" s="1"/>
      <c r="E17" s="2"/>
      <c r="F17" s="94"/>
      <c r="G17" s="2"/>
      <c r="H17" s="2"/>
      <c r="I17" s="6"/>
      <c r="J17" s="73"/>
      <c r="K17" s="73"/>
      <c r="L17" s="73"/>
      <c r="M17" s="76" t="s">
        <v>41</v>
      </c>
      <c r="N17" s="76" t="s">
        <v>41</v>
      </c>
      <c r="O17" s="76" t="s">
        <v>41</v>
      </c>
      <c r="P17" s="76" t="s">
        <v>41</v>
      </c>
      <c r="Q17" s="76" t="s">
        <v>41</v>
      </c>
      <c r="R17" s="76" t="s">
        <v>41</v>
      </c>
      <c r="S17" s="76" t="s">
        <v>41</v>
      </c>
      <c r="T17" s="76" t="s">
        <v>41</v>
      </c>
      <c r="U17" s="76" t="s">
        <v>41</v>
      </c>
      <c r="V17" s="76" t="s">
        <v>41</v>
      </c>
      <c r="W17" s="76" t="s">
        <v>41</v>
      </c>
      <c r="X17" s="76" t="s">
        <v>41</v>
      </c>
      <c r="Y17" s="77" t="s">
        <v>42</v>
      </c>
      <c r="Z17" s="77" t="s">
        <v>42</v>
      </c>
      <c r="AA17" s="77" t="s">
        <v>42</v>
      </c>
      <c r="AB17" s="77" t="s">
        <v>42</v>
      </c>
      <c r="AC17" s="77" t="s">
        <v>42</v>
      </c>
      <c r="AD17" s="77" t="s">
        <v>42</v>
      </c>
      <c r="AE17" s="77" t="s">
        <v>42</v>
      </c>
      <c r="AF17" s="77" t="s">
        <v>42</v>
      </c>
      <c r="AG17" s="77" t="s">
        <v>42</v>
      </c>
      <c r="AH17" s="77" t="s">
        <v>42</v>
      </c>
    </row>
    <row r="18" spans="1:34" ht="15" hidden="1" outlineLevel="1">
      <c r="A18" s="1"/>
      <c r="B18" s="1"/>
      <c r="C18" s="1"/>
      <c r="D18" s="1"/>
      <c r="E18" s="2"/>
      <c r="F18" s="94"/>
      <c r="G18" s="2"/>
      <c r="H18" s="2"/>
      <c r="I18" s="6"/>
      <c r="J18" s="878" t="s">
        <v>43</v>
      </c>
      <c r="K18" s="879"/>
      <c r="L18" s="860"/>
      <c r="M18" s="79" t="s">
        <v>26</v>
      </c>
      <c r="N18" s="79" t="s">
        <v>15</v>
      </c>
      <c r="O18" s="79" t="s">
        <v>16</v>
      </c>
      <c r="P18" s="79" t="s">
        <v>17</v>
      </c>
      <c r="Q18" s="80" t="s">
        <v>18</v>
      </c>
      <c r="R18" s="80" t="s">
        <v>19</v>
      </c>
      <c r="S18" s="80" t="s">
        <v>20</v>
      </c>
      <c r="T18" s="80" t="s">
        <v>21</v>
      </c>
      <c r="U18" s="80" t="s">
        <v>22</v>
      </c>
      <c r="V18" s="80" t="s">
        <v>23</v>
      </c>
      <c r="W18" s="80" t="s">
        <v>24</v>
      </c>
      <c r="X18" s="81" t="s">
        <v>25</v>
      </c>
      <c r="Y18" s="79" t="s">
        <v>26</v>
      </c>
      <c r="Z18" s="79" t="s">
        <v>15</v>
      </c>
      <c r="AA18" s="80" t="s">
        <v>16</v>
      </c>
      <c r="AB18" s="80" t="s">
        <v>17</v>
      </c>
      <c r="AC18" s="80" t="s">
        <v>18</v>
      </c>
      <c r="AD18" s="81" t="s">
        <v>19</v>
      </c>
      <c r="AE18" s="82" t="s">
        <v>20</v>
      </c>
      <c r="AF18" s="82" t="s">
        <v>21</v>
      </c>
      <c r="AG18" s="83" t="s">
        <v>22</v>
      </c>
      <c r="AH18" s="83" t="s">
        <v>23</v>
      </c>
    </row>
    <row r="19" spans="1:34" ht="15" hidden="1" outlineLevel="1">
      <c r="A19" s="1"/>
      <c r="B19" s="1"/>
      <c r="C19" s="1"/>
      <c r="D19" s="1"/>
      <c r="E19" s="2"/>
      <c r="F19" s="2"/>
      <c r="G19" s="2"/>
      <c r="H19" s="2"/>
      <c r="I19" s="6"/>
      <c r="J19" s="880" t="s">
        <v>44</v>
      </c>
      <c r="K19" s="25">
        <v>676366</v>
      </c>
      <c r="L19" s="26" t="s">
        <v>29</v>
      </c>
      <c r="M19" s="84">
        <v>10091</v>
      </c>
      <c r="N19" s="84">
        <v>10170</v>
      </c>
      <c r="O19" s="84">
        <v>10429</v>
      </c>
      <c r="P19" s="84">
        <v>10538</v>
      </c>
      <c r="Q19" s="84">
        <v>10862</v>
      </c>
      <c r="R19" s="84">
        <v>7305</v>
      </c>
      <c r="S19" s="84">
        <v>8012</v>
      </c>
      <c r="T19" s="84">
        <v>6754</v>
      </c>
      <c r="U19" s="84">
        <v>7920</v>
      </c>
      <c r="V19" s="84">
        <v>8138</v>
      </c>
      <c r="W19" s="84">
        <v>8285</v>
      </c>
      <c r="X19" s="85">
        <v>10460</v>
      </c>
      <c r="Y19" s="86">
        <v>10170</v>
      </c>
      <c r="Z19" s="87">
        <v>10373</v>
      </c>
      <c r="AA19" s="87">
        <v>10788</v>
      </c>
      <c r="AB19" s="88">
        <v>11112</v>
      </c>
      <c r="AC19" s="84">
        <v>11445</v>
      </c>
      <c r="AD19" s="85">
        <v>11216</v>
      </c>
      <c r="AE19" s="89">
        <v>11441</v>
      </c>
      <c r="AF19" s="89">
        <v>11670</v>
      </c>
      <c r="AG19" s="90">
        <v>11786</v>
      </c>
      <c r="AH19" s="90">
        <v>11551</v>
      </c>
    </row>
    <row r="20" spans="1:34" ht="15" hidden="1" outlineLevel="1">
      <c r="A20" s="1"/>
      <c r="B20" s="1"/>
      <c r="C20" s="1"/>
      <c r="D20" s="1"/>
      <c r="E20" s="2"/>
      <c r="F20" s="2"/>
      <c r="G20" s="2"/>
      <c r="H20" s="2"/>
      <c r="I20" s="6"/>
      <c r="J20" s="865"/>
      <c r="K20" s="25">
        <v>676367</v>
      </c>
      <c r="L20" s="26" t="s">
        <v>30</v>
      </c>
      <c r="M20" s="91">
        <v>6149</v>
      </c>
      <c r="N20" s="91">
        <v>6793</v>
      </c>
      <c r="O20" s="91">
        <v>6655</v>
      </c>
      <c r="P20" s="91">
        <v>6740</v>
      </c>
      <c r="Q20" s="91">
        <v>6647</v>
      </c>
      <c r="R20" s="91">
        <v>1972</v>
      </c>
      <c r="S20" s="91">
        <v>588</v>
      </c>
      <c r="T20" s="91">
        <v>2070</v>
      </c>
      <c r="U20" s="91">
        <v>2887</v>
      </c>
      <c r="V20" s="91">
        <v>3666</v>
      </c>
      <c r="W20" s="91">
        <v>3946</v>
      </c>
      <c r="X20" s="92">
        <v>4800</v>
      </c>
      <c r="Y20" s="87">
        <v>4590</v>
      </c>
      <c r="Z20" s="87">
        <v>4728</v>
      </c>
      <c r="AA20" s="87">
        <v>4822</v>
      </c>
      <c r="AB20" s="88">
        <v>4870</v>
      </c>
      <c r="AC20" s="91">
        <v>5017</v>
      </c>
      <c r="AD20" s="92">
        <v>4816</v>
      </c>
      <c r="AE20" s="86">
        <v>4912</v>
      </c>
      <c r="AF20" s="86">
        <v>5010</v>
      </c>
      <c r="AG20" s="93">
        <v>5111</v>
      </c>
      <c r="AH20" s="93">
        <v>5008</v>
      </c>
    </row>
    <row r="21" spans="1:34" ht="15" hidden="1" outlineLevel="1">
      <c r="A21" s="1"/>
      <c r="B21" s="1"/>
      <c r="C21" s="1"/>
      <c r="D21" s="1"/>
      <c r="E21" s="2"/>
      <c r="F21" s="2"/>
      <c r="G21" s="2"/>
      <c r="H21" s="2"/>
      <c r="I21" s="6"/>
      <c r="J21" s="865"/>
      <c r="K21" s="46">
        <v>676369</v>
      </c>
      <c r="L21" s="47" t="s">
        <v>31</v>
      </c>
      <c r="M21" s="84">
        <v>1975</v>
      </c>
      <c r="N21" s="84">
        <v>2094</v>
      </c>
      <c r="O21" s="84">
        <v>2101</v>
      </c>
      <c r="P21" s="84">
        <v>1953</v>
      </c>
      <c r="Q21" s="84">
        <v>1892</v>
      </c>
      <c r="R21" s="84">
        <v>1785</v>
      </c>
      <c r="S21" s="84">
        <v>1922</v>
      </c>
      <c r="T21" s="84">
        <v>1407</v>
      </c>
      <c r="U21" s="84">
        <v>1512</v>
      </c>
      <c r="V21" s="84">
        <v>1161</v>
      </c>
      <c r="W21" s="84">
        <v>1086</v>
      </c>
      <c r="X21" s="92">
        <v>1109</v>
      </c>
      <c r="Y21" s="86">
        <v>1140</v>
      </c>
      <c r="Z21" s="87">
        <v>1163</v>
      </c>
      <c r="AA21" s="87">
        <v>1186</v>
      </c>
      <c r="AB21" s="88">
        <v>1222</v>
      </c>
      <c r="AC21" s="84">
        <v>1234</v>
      </c>
      <c r="AD21" s="92">
        <v>1209</v>
      </c>
      <c r="AE21" s="89">
        <v>1221</v>
      </c>
      <c r="AF21" s="89">
        <v>1233</v>
      </c>
      <c r="AG21" s="90">
        <v>1246</v>
      </c>
      <c r="AH21" s="90">
        <v>1208</v>
      </c>
    </row>
    <row r="22" spans="1:34" ht="15" hidden="1" outlineLevel="1">
      <c r="A22" s="1"/>
      <c r="B22" s="1"/>
      <c r="C22" s="1"/>
      <c r="D22" s="1"/>
      <c r="E22" s="2"/>
      <c r="F22" s="2"/>
      <c r="G22" s="2"/>
      <c r="H22" s="2"/>
      <c r="I22" s="6"/>
      <c r="J22" s="865"/>
      <c r="K22" s="52">
        <v>677211</v>
      </c>
      <c r="L22" s="53" t="s">
        <v>33</v>
      </c>
      <c r="M22" s="84">
        <v>26395</v>
      </c>
      <c r="N22" s="84">
        <v>18036</v>
      </c>
      <c r="O22" s="84">
        <v>19567</v>
      </c>
      <c r="P22" s="84">
        <v>21775</v>
      </c>
      <c r="Q22" s="84">
        <v>24094</v>
      </c>
      <c r="R22" s="84">
        <v>20361</v>
      </c>
      <c r="S22" s="84">
        <v>21905</v>
      </c>
      <c r="T22" s="84">
        <v>22294</v>
      </c>
      <c r="U22" s="84">
        <v>24686</v>
      </c>
      <c r="V22" s="84">
        <v>25134</v>
      </c>
      <c r="W22" s="84">
        <v>30239</v>
      </c>
      <c r="X22" s="92">
        <v>35346</v>
      </c>
      <c r="Y22" s="86">
        <v>33300</v>
      </c>
      <c r="Z22" s="87">
        <v>34965</v>
      </c>
      <c r="AA22" s="87">
        <v>36014</v>
      </c>
      <c r="AB22" s="88">
        <v>37094</v>
      </c>
      <c r="AC22" s="84">
        <v>37836</v>
      </c>
      <c r="AD22" s="92">
        <v>37080</v>
      </c>
      <c r="AE22" s="89">
        <v>37821</v>
      </c>
      <c r="AF22" s="89">
        <v>38578</v>
      </c>
      <c r="AG22" s="90">
        <v>39349</v>
      </c>
      <c r="AH22" s="90">
        <v>40136</v>
      </c>
    </row>
    <row r="23" spans="1:34" ht="15" hidden="1" outlineLevel="1">
      <c r="A23" s="1"/>
      <c r="B23" s="1"/>
      <c r="D23" s="1"/>
      <c r="E23" s="2"/>
      <c r="F23" s="2"/>
      <c r="G23" s="2"/>
      <c r="H23" s="2"/>
      <c r="I23" s="6"/>
      <c r="J23" s="865"/>
      <c r="K23" s="52">
        <v>677200</v>
      </c>
      <c r="L23" s="53" t="s">
        <v>34</v>
      </c>
      <c r="M23" s="84">
        <v>9582</v>
      </c>
      <c r="N23" s="84">
        <v>11036</v>
      </c>
      <c r="O23" s="84">
        <v>10102</v>
      </c>
      <c r="P23" s="84">
        <v>10640</v>
      </c>
      <c r="Q23" s="84">
        <v>11504</v>
      </c>
      <c r="R23" s="84">
        <v>10237</v>
      </c>
      <c r="S23" s="84">
        <v>13952</v>
      </c>
      <c r="T23" s="84">
        <v>13606</v>
      </c>
      <c r="U23" s="84">
        <v>14459</v>
      </c>
      <c r="V23" s="84">
        <v>12631</v>
      </c>
      <c r="W23" s="84">
        <v>15942</v>
      </c>
      <c r="X23" s="92">
        <v>16880</v>
      </c>
      <c r="Y23" s="86">
        <v>16260</v>
      </c>
      <c r="Z23" s="87">
        <v>16910</v>
      </c>
      <c r="AA23" s="87">
        <v>17587</v>
      </c>
      <c r="AB23" s="88">
        <v>18114</v>
      </c>
      <c r="AC23" s="84">
        <v>18658</v>
      </c>
      <c r="AD23" s="92">
        <v>18844</v>
      </c>
      <c r="AE23" s="89">
        <v>19221</v>
      </c>
      <c r="AF23" s="89">
        <v>19606</v>
      </c>
      <c r="AG23" s="90">
        <v>19998</v>
      </c>
      <c r="AH23" s="90">
        <v>20198</v>
      </c>
    </row>
    <row r="24" spans="1:34" ht="15" hidden="1" outlineLevel="1">
      <c r="A24" s="1"/>
      <c r="B24" s="1"/>
      <c r="C24" s="1"/>
      <c r="D24" s="1"/>
      <c r="E24" s="2"/>
      <c r="F24" s="2"/>
      <c r="G24" s="2"/>
      <c r="H24" s="2"/>
      <c r="I24" s="6"/>
      <c r="J24" s="865"/>
      <c r="K24" s="56">
        <v>677281</v>
      </c>
      <c r="L24" s="57" t="s">
        <v>35</v>
      </c>
      <c r="M24" s="84">
        <v>2881</v>
      </c>
      <c r="N24" s="84">
        <v>3060</v>
      </c>
      <c r="O24" s="84">
        <v>3108</v>
      </c>
      <c r="P24" s="84">
        <v>3172</v>
      </c>
      <c r="Q24" s="84">
        <v>3248</v>
      </c>
      <c r="R24" s="84">
        <v>2466</v>
      </c>
      <c r="S24" s="84">
        <v>2899</v>
      </c>
      <c r="T24" s="84">
        <v>2728</v>
      </c>
      <c r="U24" s="84">
        <v>2877</v>
      </c>
      <c r="V24" s="84">
        <v>2182</v>
      </c>
      <c r="W24" s="84">
        <v>3461</v>
      </c>
      <c r="X24" s="92">
        <v>3246</v>
      </c>
      <c r="Y24" s="86">
        <v>3060</v>
      </c>
      <c r="Z24" s="87">
        <v>3121</v>
      </c>
      <c r="AA24" s="87">
        <v>3184</v>
      </c>
      <c r="AB24" s="88">
        <v>3215</v>
      </c>
      <c r="AC24" s="84">
        <v>3248</v>
      </c>
      <c r="AD24" s="92">
        <v>3183</v>
      </c>
      <c r="AE24" s="89">
        <v>3214</v>
      </c>
      <c r="AF24" s="89">
        <v>3247</v>
      </c>
      <c r="AG24" s="90">
        <v>3279</v>
      </c>
      <c r="AH24" s="90">
        <v>3312</v>
      </c>
    </row>
    <row r="25" spans="1:34" ht="15" hidden="1" outlineLevel="1">
      <c r="A25" s="1"/>
      <c r="B25" s="1"/>
      <c r="C25" s="1"/>
      <c r="D25" s="1"/>
      <c r="E25" s="2"/>
      <c r="F25" s="2"/>
      <c r="G25" s="2"/>
      <c r="H25" s="2"/>
      <c r="I25" s="6"/>
      <c r="J25" s="866"/>
      <c r="K25" s="58">
        <v>560277</v>
      </c>
      <c r="L25" s="59" t="s">
        <v>36</v>
      </c>
      <c r="M25" s="97"/>
      <c r="N25" s="97"/>
      <c r="O25" s="97"/>
      <c r="P25" s="97"/>
      <c r="Q25" s="97">
        <v>284</v>
      </c>
      <c r="R25" s="97">
        <v>129</v>
      </c>
      <c r="S25" s="97">
        <v>22</v>
      </c>
      <c r="T25" s="97">
        <v>298</v>
      </c>
      <c r="U25" s="97">
        <v>133</v>
      </c>
      <c r="V25" s="97">
        <v>287</v>
      </c>
      <c r="W25" s="97">
        <v>329</v>
      </c>
      <c r="X25" s="98">
        <v>199</v>
      </c>
      <c r="Y25" s="97">
        <v>330</v>
      </c>
      <c r="Z25" s="99">
        <v>337</v>
      </c>
      <c r="AA25" s="99">
        <v>340</v>
      </c>
      <c r="AB25" s="97">
        <v>347</v>
      </c>
      <c r="AC25" s="97">
        <v>357</v>
      </c>
      <c r="AD25" s="98">
        <v>368</v>
      </c>
      <c r="AE25" s="97">
        <v>364</v>
      </c>
      <c r="AF25" s="99">
        <v>371</v>
      </c>
      <c r="AG25" s="100">
        <v>383</v>
      </c>
      <c r="AH25" s="100">
        <v>375</v>
      </c>
    </row>
    <row r="26" spans="1:34" ht="15" hidden="1" outlineLevel="1">
      <c r="A26" s="1"/>
      <c r="B26" s="1"/>
      <c r="C26" s="1"/>
      <c r="D26" s="1"/>
      <c r="E26" s="2"/>
      <c r="F26" s="2"/>
      <c r="G26" s="2"/>
      <c r="H26" s="2"/>
      <c r="I26" s="6"/>
      <c r="J26" s="101"/>
      <c r="K26" s="881" t="s">
        <v>38</v>
      </c>
      <c r="L26" s="870"/>
      <c r="M26" s="80">
        <f t="shared" ref="M26:P26" si="7">SUM(M19:M24)</f>
        <v>57073</v>
      </c>
      <c r="N26" s="80">
        <f t="shared" si="7"/>
        <v>51189</v>
      </c>
      <c r="O26" s="80">
        <f t="shared" si="7"/>
        <v>51962</v>
      </c>
      <c r="P26" s="80">
        <f t="shared" si="7"/>
        <v>54818</v>
      </c>
      <c r="Q26" s="80">
        <f t="shared" ref="Q26:AH26" si="8">SUM(Q19:Q25)</f>
        <v>58531</v>
      </c>
      <c r="R26" s="80">
        <f t="shared" si="8"/>
        <v>44255</v>
      </c>
      <c r="S26" s="80">
        <f t="shared" si="8"/>
        <v>49300</v>
      </c>
      <c r="T26" s="80">
        <f t="shared" si="8"/>
        <v>49157</v>
      </c>
      <c r="U26" s="80">
        <f t="shared" si="8"/>
        <v>54474</v>
      </c>
      <c r="V26" s="80">
        <f t="shared" si="8"/>
        <v>53199</v>
      </c>
      <c r="W26" s="80">
        <f t="shared" si="8"/>
        <v>63288</v>
      </c>
      <c r="X26" s="102">
        <f t="shared" si="8"/>
        <v>72040</v>
      </c>
      <c r="Y26" s="80">
        <f t="shared" si="8"/>
        <v>68850</v>
      </c>
      <c r="Z26" s="79">
        <f t="shared" si="8"/>
        <v>71597</v>
      </c>
      <c r="AA26" s="80">
        <f t="shared" si="8"/>
        <v>73921</v>
      </c>
      <c r="AB26" s="80">
        <f t="shared" si="8"/>
        <v>75974</v>
      </c>
      <c r="AC26" s="80">
        <f t="shared" si="8"/>
        <v>77795</v>
      </c>
      <c r="AD26" s="102">
        <f t="shared" si="8"/>
        <v>76716</v>
      </c>
      <c r="AE26" s="80">
        <f t="shared" si="8"/>
        <v>78194</v>
      </c>
      <c r="AF26" s="80">
        <f t="shared" si="8"/>
        <v>79715</v>
      </c>
      <c r="AG26" s="103">
        <f t="shared" si="8"/>
        <v>81152</v>
      </c>
      <c r="AH26" s="103">
        <f t="shared" si="8"/>
        <v>81788</v>
      </c>
    </row>
    <row r="27" spans="1:34" ht="15">
      <c r="A27" s="1"/>
      <c r="B27" s="1"/>
      <c r="C27" s="1"/>
      <c r="D27" s="1"/>
      <c r="E27" s="2"/>
      <c r="F27" s="2"/>
      <c r="G27" s="2"/>
      <c r="H27" s="2"/>
      <c r="I27" s="6"/>
      <c r="J27" s="73"/>
      <c r="K27" s="73"/>
      <c r="L27" s="73"/>
      <c r="M27" s="104"/>
      <c r="N27" s="104"/>
      <c r="O27" s="104"/>
      <c r="P27" s="104"/>
      <c r="Q27" s="104"/>
      <c r="R27" s="104"/>
      <c r="S27" s="104"/>
      <c r="T27" s="104"/>
      <c r="U27" s="104"/>
      <c r="V27" s="67">
        <f t="shared" ref="V27:AH27" si="9">SUM(V19:V24)</f>
        <v>52912</v>
      </c>
      <c r="W27" s="67">
        <f t="shared" si="9"/>
        <v>62959</v>
      </c>
      <c r="X27" s="67">
        <f t="shared" si="9"/>
        <v>71841</v>
      </c>
      <c r="Y27" s="67">
        <f t="shared" si="9"/>
        <v>68520</v>
      </c>
      <c r="Z27" s="67">
        <f t="shared" si="9"/>
        <v>71260</v>
      </c>
      <c r="AA27" s="67">
        <f t="shared" si="9"/>
        <v>73581</v>
      </c>
      <c r="AB27" s="67">
        <f t="shared" si="9"/>
        <v>75627</v>
      </c>
      <c r="AC27" s="67">
        <f t="shared" si="9"/>
        <v>77438</v>
      </c>
      <c r="AD27" s="67">
        <f t="shared" si="9"/>
        <v>76348</v>
      </c>
      <c r="AE27" s="67">
        <f t="shared" si="9"/>
        <v>77830</v>
      </c>
      <c r="AF27" s="67">
        <f t="shared" si="9"/>
        <v>79344</v>
      </c>
      <c r="AG27" s="105">
        <f t="shared" si="9"/>
        <v>80769</v>
      </c>
      <c r="AH27" s="105">
        <f t="shared" si="9"/>
        <v>81413</v>
      </c>
    </row>
    <row r="28" spans="1:34" ht="15" collapsed="1">
      <c r="A28" s="1"/>
      <c r="B28" s="1"/>
      <c r="C28" s="1"/>
      <c r="D28" s="1"/>
      <c r="E28" s="2"/>
      <c r="F28" s="2"/>
      <c r="G28" s="2"/>
      <c r="H28" s="2"/>
      <c r="I28" s="6"/>
      <c r="J28" s="73"/>
      <c r="K28" s="73"/>
      <c r="L28" s="73"/>
      <c r="AG28" s="4"/>
      <c r="AH28" s="4"/>
    </row>
    <row r="29" spans="1:34" ht="12.75" hidden="1" outlineLevel="1">
      <c r="A29" s="106" t="s">
        <v>45</v>
      </c>
      <c r="B29" s="106" t="s">
        <v>46</v>
      </c>
      <c r="C29" s="107" t="s">
        <v>47</v>
      </c>
      <c r="D29" s="106" t="s">
        <v>48</v>
      </c>
      <c r="E29" s="106" t="s">
        <v>52</v>
      </c>
      <c r="F29" s="108" t="s">
        <v>53</v>
      </c>
      <c r="G29" s="109" t="s">
        <v>50</v>
      </c>
      <c r="I29" s="6"/>
      <c r="J29" s="882" t="s">
        <v>51</v>
      </c>
      <c r="K29" s="879"/>
      <c r="L29" s="860"/>
      <c r="M29" s="110" t="s">
        <v>14</v>
      </c>
      <c r="N29" s="110" t="s">
        <v>15</v>
      </c>
      <c r="O29" s="110" t="s">
        <v>16</v>
      </c>
      <c r="P29" s="110" t="s">
        <v>17</v>
      </c>
      <c r="Q29" s="110" t="s">
        <v>18</v>
      </c>
      <c r="R29" s="110" t="s">
        <v>19</v>
      </c>
      <c r="S29" s="110" t="s">
        <v>20</v>
      </c>
      <c r="T29" s="110" t="s">
        <v>21</v>
      </c>
      <c r="U29" s="110" t="s">
        <v>22</v>
      </c>
      <c r="V29" s="110" t="s">
        <v>23</v>
      </c>
      <c r="W29" s="110" t="s">
        <v>24</v>
      </c>
      <c r="X29" s="111" t="s">
        <v>25</v>
      </c>
      <c r="Y29" s="110" t="s">
        <v>26</v>
      </c>
      <c r="Z29" s="110" t="s">
        <v>15</v>
      </c>
      <c r="AA29" s="110" t="s">
        <v>16</v>
      </c>
      <c r="AB29" s="110" t="s">
        <v>17</v>
      </c>
      <c r="AC29" s="110" t="s">
        <v>18</v>
      </c>
      <c r="AD29" s="111" t="s">
        <v>19</v>
      </c>
      <c r="AE29" s="112" t="s">
        <v>20</v>
      </c>
      <c r="AF29" s="113" t="s">
        <v>21</v>
      </c>
      <c r="AG29" s="113" t="s">
        <v>22</v>
      </c>
      <c r="AH29" s="113" t="s">
        <v>23</v>
      </c>
    </row>
    <row r="30" spans="1:34" ht="12.75" hidden="1" outlineLevel="1">
      <c r="A30" s="106">
        <v>39459</v>
      </c>
      <c r="B30" s="106">
        <v>10</v>
      </c>
      <c r="C30" s="106">
        <v>1408</v>
      </c>
      <c r="D30" s="106">
        <v>1</v>
      </c>
      <c r="E30" s="118">
        <v>1219</v>
      </c>
      <c r="F30" s="114">
        <f t="shared" ref="F30:F36" si="10">A30+B30+C30+D30+E30</f>
        <v>42097</v>
      </c>
      <c r="G30" s="106">
        <f t="shared" ref="G30:G36" si="11">F30-(X19/31*11)</f>
        <v>38385.387096774197</v>
      </c>
      <c r="H30" s="118">
        <f t="shared" ref="H30:H36" si="12">X30-G30</f>
        <v>-485.38709677419683</v>
      </c>
      <c r="I30" s="6"/>
      <c r="J30" s="876" t="s">
        <v>51</v>
      </c>
      <c r="K30" s="25">
        <v>676366</v>
      </c>
      <c r="L30" s="26" t="s">
        <v>29</v>
      </c>
      <c r="M30" s="116">
        <v>30844</v>
      </c>
      <c r="N30" s="117">
        <v>20669</v>
      </c>
      <c r="O30" s="117">
        <v>17050</v>
      </c>
      <c r="P30" s="117">
        <v>13685</v>
      </c>
      <c r="Q30" s="117">
        <v>10623</v>
      </c>
      <c r="R30" s="117">
        <v>3902</v>
      </c>
      <c r="S30" s="117">
        <v>9601</v>
      </c>
      <c r="T30" s="117">
        <v>3607</v>
      </c>
      <c r="U30" s="117">
        <v>39061</v>
      </c>
      <c r="V30" s="117">
        <v>42442</v>
      </c>
      <c r="W30" s="117">
        <v>47469</v>
      </c>
      <c r="X30" s="127">
        <v>37900</v>
      </c>
      <c r="Y30" s="116">
        <f t="shared" ref="Y30:AH30" si="13">X30+Y6-Y19</f>
        <v>27730</v>
      </c>
      <c r="Z30" s="116">
        <f t="shared" si="13"/>
        <v>17357</v>
      </c>
      <c r="AA30" s="116">
        <f t="shared" si="13"/>
        <v>14641</v>
      </c>
      <c r="AB30" s="116">
        <f t="shared" si="13"/>
        <v>3529</v>
      </c>
      <c r="AC30" s="117">
        <f t="shared" si="13"/>
        <v>3050</v>
      </c>
      <c r="AD30" s="119">
        <f t="shared" si="13"/>
        <v>10842</v>
      </c>
      <c r="AE30" s="116">
        <f t="shared" si="13"/>
        <v>-599</v>
      </c>
      <c r="AF30" s="116">
        <f t="shared" si="13"/>
        <v>-12269</v>
      </c>
      <c r="AG30" s="120">
        <f t="shared" si="13"/>
        <v>-24055</v>
      </c>
      <c r="AH30" s="120">
        <f t="shared" si="13"/>
        <v>-35606</v>
      </c>
    </row>
    <row r="31" spans="1:34" ht="12.75" hidden="1" outlineLevel="1">
      <c r="A31" s="106">
        <v>24163</v>
      </c>
      <c r="B31" s="106">
        <v>136</v>
      </c>
      <c r="C31" s="106">
        <v>2452</v>
      </c>
      <c r="D31" s="106">
        <v>165</v>
      </c>
      <c r="E31" s="7">
        <v>432</v>
      </c>
      <c r="F31" s="114">
        <f t="shared" si="10"/>
        <v>27348</v>
      </c>
      <c r="G31" s="106">
        <f t="shared" si="11"/>
        <v>25644.774193548386</v>
      </c>
      <c r="H31" s="118">
        <f t="shared" si="12"/>
        <v>-234.77419354838639</v>
      </c>
      <c r="I31" s="6"/>
      <c r="J31" s="865"/>
      <c r="K31" s="25">
        <v>676367</v>
      </c>
      <c r="L31" s="26" t="s">
        <v>30</v>
      </c>
      <c r="M31" s="116">
        <v>36898</v>
      </c>
      <c r="N31" s="117">
        <v>36258</v>
      </c>
      <c r="O31" s="117">
        <v>30555</v>
      </c>
      <c r="P31" s="117">
        <v>29714</v>
      </c>
      <c r="Q31" s="117">
        <v>20343</v>
      </c>
      <c r="R31" s="117">
        <v>0</v>
      </c>
      <c r="S31" s="117">
        <v>6194</v>
      </c>
      <c r="T31" s="117">
        <v>9670</v>
      </c>
      <c r="U31" s="117">
        <v>14884</v>
      </c>
      <c r="V31" s="117">
        <v>10629</v>
      </c>
      <c r="W31" s="117">
        <v>23526</v>
      </c>
      <c r="X31" s="127">
        <v>25410</v>
      </c>
      <c r="Y31" s="116">
        <f t="shared" ref="Y31:AH31" si="14">X31+Y7-Y20</f>
        <v>20820</v>
      </c>
      <c r="Z31" s="116">
        <f t="shared" si="14"/>
        <v>16092</v>
      </c>
      <c r="AA31" s="116">
        <f t="shared" si="14"/>
        <v>11270</v>
      </c>
      <c r="AB31" s="116">
        <f t="shared" si="14"/>
        <v>6400</v>
      </c>
      <c r="AC31" s="117">
        <f t="shared" si="14"/>
        <v>7719</v>
      </c>
      <c r="AD31" s="119">
        <f t="shared" si="14"/>
        <v>9239</v>
      </c>
      <c r="AE31" s="116">
        <f t="shared" si="14"/>
        <v>4327</v>
      </c>
      <c r="AF31" s="116">
        <f t="shared" si="14"/>
        <v>-683</v>
      </c>
      <c r="AG31" s="120">
        <f t="shared" si="14"/>
        <v>-5794</v>
      </c>
      <c r="AH31" s="120">
        <f t="shared" si="14"/>
        <v>-10802</v>
      </c>
    </row>
    <row r="32" spans="1:34" ht="12.75" hidden="1" outlineLevel="1">
      <c r="A32" s="106">
        <v>8799</v>
      </c>
      <c r="B32" s="106">
        <v>286</v>
      </c>
      <c r="C32" s="106">
        <v>1020</v>
      </c>
      <c r="D32" s="106">
        <v>198</v>
      </c>
      <c r="E32" s="7">
        <v>0</v>
      </c>
      <c r="F32" s="114">
        <f t="shared" si="10"/>
        <v>10303</v>
      </c>
      <c r="G32" s="106">
        <f t="shared" si="11"/>
        <v>9909.4838709677424</v>
      </c>
      <c r="H32" s="118">
        <f t="shared" si="12"/>
        <v>144.5161290322576</v>
      </c>
      <c r="I32" s="6"/>
      <c r="J32" s="865"/>
      <c r="K32" s="46">
        <v>676369</v>
      </c>
      <c r="L32" s="47" t="s">
        <v>31</v>
      </c>
      <c r="M32" s="116">
        <v>9504</v>
      </c>
      <c r="N32" s="117">
        <v>13528</v>
      </c>
      <c r="O32" s="117">
        <v>11315</v>
      </c>
      <c r="P32" s="117">
        <v>9370</v>
      </c>
      <c r="Q32" s="117">
        <v>5587</v>
      </c>
      <c r="R32" s="117">
        <v>3807</v>
      </c>
      <c r="S32" s="117">
        <v>2641</v>
      </c>
      <c r="T32" s="117">
        <v>1780</v>
      </c>
      <c r="U32" s="117">
        <v>7358</v>
      </c>
      <c r="V32" s="117">
        <v>5628</v>
      </c>
      <c r="W32" s="117">
        <v>5062</v>
      </c>
      <c r="X32" s="127">
        <v>10054</v>
      </c>
      <c r="Y32" s="116">
        <f t="shared" ref="Y32:AH32" si="15">X32+Y8-Y21</f>
        <v>8914</v>
      </c>
      <c r="Z32" s="116">
        <f t="shared" si="15"/>
        <v>7751</v>
      </c>
      <c r="AA32" s="116">
        <f t="shared" si="15"/>
        <v>6565</v>
      </c>
      <c r="AB32" s="116">
        <f t="shared" si="15"/>
        <v>5343</v>
      </c>
      <c r="AC32" s="117">
        <f t="shared" si="15"/>
        <v>4109</v>
      </c>
      <c r="AD32" s="119">
        <f t="shared" si="15"/>
        <v>2900</v>
      </c>
      <c r="AE32" s="116">
        <f t="shared" si="15"/>
        <v>1679</v>
      </c>
      <c r="AF32" s="116">
        <f t="shared" si="15"/>
        <v>446</v>
      </c>
      <c r="AG32" s="120">
        <f t="shared" si="15"/>
        <v>-800</v>
      </c>
      <c r="AH32" s="120">
        <f t="shared" si="15"/>
        <v>-2008</v>
      </c>
    </row>
    <row r="33" spans="1:34" ht="12.75" hidden="1" outlineLevel="1">
      <c r="A33" s="122">
        <v>17071</v>
      </c>
      <c r="B33" s="106">
        <v>0</v>
      </c>
      <c r="C33" s="106">
        <v>1760</v>
      </c>
      <c r="D33" s="106">
        <v>0</v>
      </c>
      <c r="E33" s="118">
        <v>1387</v>
      </c>
      <c r="F33" s="114">
        <f t="shared" si="10"/>
        <v>20218</v>
      </c>
      <c r="G33" s="106">
        <f t="shared" si="11"/>
        <v>7675.8709677419356</v>
      </c>
      <c r="H33" s="118">
        <f t="shared" si="12"/>
        <v>12182.129032258064</v>
      </c>
      <c r="I33" s="6"/>
      <c r="J33" s="865"/>
      <c r="K33" s="52">
        <v>677211</v>
      </c>
      <c r="L33" s="53" t="s">
        <v>33</v>
      </c>
      <c r="M33" s="116">
        <v>30317</v>
      </c>
      <c r="N33" s="117">
        <v>28612</v>
      </c>
      <c r="O33" s="117">
        <v>34273</v>
      </c>
      <c r="P33" s="117">
        <v>12108</v>
      </c>
      <c r="Q33" s="117">
        <v>47968</v>
      </c>
      <c r="R33" s="117">
        <v>45113</v>
      </c>
      <c r="S33" s="117">
        <v>49297</v>
      </c>
      <c r="T33" s="117">
        <v>28221</v>
      </c>
      <c r="U33" s="117">
        <v>42865</v>
      </c>
      <c r="V33" s="117">
        <v>38482</v>
      </c>
      <c r="W33" s="117">
        <v>23218</v>
      </c>
      <c r="X33" s="127">
        <v>19858</v>
      </c>
      <c r="Y33" s="116">
        <f t="shared" ref="Y33:AH33" si="16">X33+Y9-Y22</f>
        <v>66518</v>
      </c>
      <c r="Z33" s="116">
        <f t="shared" si="16"/>
        <v>51905</v>
      </c>
      <c r="AA33" s="116">
        <f t="shared" si="16"/>
        <v>63891</v>
      </c>
      <c r="AB33" s="116">
        <f t="shared" si="16"/>
        <v>55213</v>
      </c>
      <c r="AC33" s="117">
        <f t="shared" si="16"/>
        <v>93793</v>
      </c>
      <c r="AD33" s="119">
        <f t="shared" si="16"/>
        <v>114313</v>
      </c>
      <c r="AE33" s="116">
        <f t="shared" si="16"/>
        <v>76492</v>
      </c>
      <c r="AF33" s="116">
        <f t="shared" si="16"/>
        <v>37914</v>
      </c>
      <c r="AG33" s="120">
        <f t="shared" si="16"/>
        <v>-1435</v>
      </c>
      <c r="AH33" s="120">
        <f t="shared" si="16"/>
        <v>-41571</v>
      </c>
    </row>
    <row r="34" spans="1:34" ht="12.75" hidden="1" outlineLevel="1">
      <c r="A34" s="122">
        <v>31105</v>
      </c>
      <c r="B34" s="124">
        <v>0</v>
      </c>
      <c r="C34" s="125">
        <v>2352</v>
      </c>
      <c r="D34" s="106">
        <v>5</v>
      </c>
      <c r="E34" s="7">
        <v>899</v>
      </c>
      <c r="F34" s="114">
        <f t="shared" si="10"/>
        <v>34361</v>
      </c>
      <c r="G34" s="106">
        <f t="shared" si="11"/>
        <v>28371.322580645159</v>
      </c>
      <c r="H34" s="118">
        <f t="shared" si="12"/>
        <v>1973.6774193548408</v>
      </c>
      <c r="I34" s="6"/>
      <c r="J34" s="865"/>
      <c r="K34" s="52">
        <v>677200</v>
      </c>
      <c r="L34" s="53" t="s">
        <v>34</v>
      </c>
      <c r="M34" s="116">
        <v>44579</v>
      </c>
      <c r="N34" s="117">
        <v>33292</v>
      </c>
      <c r="O34" s="117">
        <v>36167</v>
      </c>
      <c r="P34" s="117">
        <v>26193</v>
      </c>
      <c r="Q34" s="117">
        <v>43047</v>
      </c>
      <c r="R34" s="117">
        <v>51471</v>
      </c>
      <c r="S34" s="117">
        <v>39515</v>
      </c>
      <c r="T34" s="117">
        <v>33519</v>
      </c>
      <c r="U34" s="117">
        <v>18531</v>
      </c>
      <c r="V34" s="117">
        <v>6669</v>
      </c>
      <c r="W34" s="117">
        <v>37433</v>
      </c>
      <c r="X34" s="127">
        <v>30345</v>
      </c>
      <c r="Y34" s="116">
        <f t="shared" ref="Y34:AH34" si="17">X34+Y10-Y23</f>
        <v>40301</v>
      </c>
      <c r="Z34" s="116">
        <f t="shared" si="17"/>
        <v>34911</v>
      </c>
      <c r="AA34" s="116">
        <f t="shared" si="17"/>
        <v>42220</v>
      </c>
      <c r="AB34" s="116">
        <f t="shared" si="17"/>
        <v>35242</v>
      </c>
      <c r="AC34" s="117">
        <f t="shared" si="17"/>
        <v>43464</v>
      </c>
      <c r="AD34" s="119">
        <f t="shared" si="17"/>
        <v>59180</v>
      </c>
      <c r="AE34" s="116">
        <f t="shared" si="17"/>
        <v>39959</v>
      </c>
      <c r="AF34" s="116">
        <f t="shared" si="17"/>
        <v>20353</v>
      </c>
      <c r="AG34" s="120">
        <f t="shared" si="17"/>
        <v>355</v>
      </c>
      <c r="AH34" s="120">
        <f t="shared" si="17"/>
        <v>-19843</v>
      </c>
    </row>
    <row r="35" spans="1:34" ht="12.75" hidden="1" outlineLevel="1">
      <c r="A35" s="106">
        <v>6193</v>
      </c>
      <c r="B35" s="124">
        <v>115</v>
      </c>
      <c r="C35" s="125">
        <v>1788</v>
      </c>
      <c r="D35" s="106">
        <v>7</v>
      </c>
      <c r="E35" s="7">
        <v>0</v>
      </c>
      <c r="F35" s="114">
        <f t="shared" si="10"/>
        <v>8103</v>
      </c>
      <c r="G35" s="106">
        <f t="shared" si="11"/>
        <v>6951.1935483870966</v>
      </c>
      <c r="H35" s="118">
        <f t="shared" si="12"/>
        <v>2790.8064516129034</v>
      </c>
      <c r="I35" s="6"/>
      <c r="J35" s="865"/>
      <c r="K35" s="56">
        <v>677281</v>
      </c>
      <c r="L35" s="57" t="s">
        <v>35</v>
      </c>
      <c r="M35" s="116">
        <v>16866</v>
      </c>
      <c r="N35" s="117">
        <v>13727</v>
      </c>
      <c r="O35" s="117">
        <v>19729</v>
      </c>
      <c r="P35" s="117">
        <v>16406</v>
      </c>
      <c r="Q35" s="117">
        <v>12636</v>
      </c>
      <c r="R35" s="117">
        <v>18546</v>
      </c>
      <c r="S35" s="117">
        <v>16659</v>
      </c>
      <c r="T35" s="117">
        <v>14687</v>
      </c>
      <c r="U35" s="117">
        <v>11366</v>
      </c>
      <c r="V35" s="117">
        <v>8797</v>
      </c>
      <c r="W35" s="117">
        <v>10467</v>
      </c>
      <c r="X35" s="127">
        <v>9742</v>
      </c>
      <c r="Y35" s="116">
        <f t="shared" ref="Y35:AH35" si="18">X35+Y11-Y24</f>
        <v>9106</v>
      </c>
      <c r="Z35" s="116">
        <f t="shared" si="18"/>
        <v>5985</v>
      </c>
      <c r="AA35" s="116">
        <f t="shared" si="18"/>
        <v>10321</v>
      </c>
      <c r="AB35" s="116">
        <f t="shared" si="18"/>
        <v>11330</v>
      </c>
      <c r="AC35" s="117">
        <f t="shared" si="18"/>
        <v>15378</v>
      </c>
      <c r="AD35" s="119">
        <f t="shared" si="18"/>
        <v>12195</v>
      </c>
      <c r="AE35" s="116">
        <f t="shared" si="18"/>
        <v>8981</v>
      </c>
      <c r="AF35" s="116">
        <f t="shared" si="18"/>
        <v>5734</v>
      </c>
      <c r="AG35" s="120">
        <f t="shared" si="18"/>
        <v>2455</v>
      </c>
      <c r="AH35" s="120">
        <f t="shared" si="18"/>
        <v>-857</v>
      </c>
    </row>
    <row r="36" spans="1:34" ht="12.75" hidden="1" outlineLevel="1">
      <c r="A36" s="106"/>
      <c r="B36" s="124"/>
      <c r="C36" s="125"/>
      <c r="D36" s="106"/>
      <c r="F36" s="114">
        <f t="shared" si="10"/>
        <v>0</v>
      </c>
      <c r="G36" s="106">
        <f t="shared" si="11"/>
        <v>-70.612903225806448</v>
      </c>
      <c r="H36" s="67">
        <f t="shared" si="12"/>
        <v>33739.612903225803</v>
      </c>
      <c r="I36" s="6"/>
      <c r="J36" s="865"/>
      <c r="K36" s="58">
        <v>560277</v>
      </c>
      <c r="L36" s="59" t="s">
        <v>36</v>
      </c>
      <c r="M36" s="116"/>
      <c r="N36" s="116"/>
      <c r="O36" s="116"/>
      <c r="P36" s="116">
        <f>O36+P12-P25</f>
        <v>6912</v>
      </c>
      <c r="Q36" s="116">
        <v>45869</v>
      </c>
      <c r="R36" s="116">
        <v>11717</v>
      </c>
      <c r="S36" s="116">
        <v>11671</v>
      </c>
      <c r="T36" s="116">
        <v>11347</v>
      </c>
      <c r="U36" s="116">
        <v>22844</v>
      </c>
      <c r="V36" s="116">
        <v>34353</v>
      </c>
      <c r="W36" s="116">
        <v>34023</v>
      </c>
      <c r="X36" s="119">
        <v>33669</v>
      </c>
      <c r="Y36" s="116">
        <f t="shared" ref="Y36:AH36" si="19">X36+Y12-Y25</f>
        <v>33339</v>
      </c>
      <c r="Z36" s="116">
        <f t="shared" si="19"/>
        <v>33002</v>
      </c>
      <c r="AA36" s="116">
        <f t="shared" si="19"/>
        <v>32662</v>
      </c>
      <c r="AB36" s="116">
        <f t="shared" si="19"/>
        <v>32315</v>
      </c>
      <c r="AC36" s="116">
        <f t="shared" si="19"/>
        <v>31958</v>
      </c>
      <c r="AD36" s="119">
        <f t="shared" si="19"/>
        <v>31590</v>
      </c>
      <c r="AE36" s="116">
        <f t="shared" si="19"/>
        <v>31226</v>
      </c>
      <c r="AF36" s="116">
        <f t="shared" si="19"/>
        <v>30855</v>
      </c>
      <c r="AG36" s="120">
        <f t="shared" si="19"/>
        <v>30472</v>
      </c>
      <c r="AH36" s="120">
        <f t="shared" si="19"/>
        <v>30097</v>
      </c>
    </row>
    <row r="37" spans="1:34" ht="15" hidden="1" outlineLevel="1">
      <c r="A37" s="128"/>
      <c r="B37" s="128"/>
      <c r="C37" s="128"/>
      <c r="D37" s="128"/>
      <c r="E37" s="129"/>
      <c r="F37" s="129"/>
      <c r="G37" s="129"/>
      <c r="H37" s="129"/>
      <c r="I37" s="6"/>
      <c r="J37" s="130"/>
      <c r="K37" s="874" t="s">
        <v>38</v>
      </c>
      <c r="L37" s="870"/>
      <c r="M37" s="131">
        <f t="shared" ref="M37:P37" si="20">SUM(M30:M35)</f>
        <v>169008</v>
      </c>
      <c r="N37" s="131">
        <f t="shared" si="20"/>
        <v>146086</v>
      </c>
      <c r="O37" s="131">
        <f t="shared" si="20"/>
        <v>149089</v>
      </c>
      <c r="P37" s="131">
        <f t="shared" si="20"/>
        <v>107476</v>
      </c>
      <c r="Q37" s="131">
        <f t="shared" ref="Q37:AH37" si="21">SUM(Q30:Q36)</f>
        <v>186073</v>
      </c>
      <c r="R37" s="131">
        <f t="shared" si="21"/>
        <v>134556</v>
      </c>
      <c r="S37" s="131">
        <f t="shared" si="21"/>
        <v>135578</v>
      </c>
      <c r="T37" s="131">
        <f t="shared" si="21"/>
        <v>102831</v>
      </c>
      <c r="U37" s="131">
        <f t="shared" si="21"/>
        <v>156909</v>
      </c>
      <c r="V37" s="131">
        <f t="shared" si="21"/>
        <v>147000</v>
      </c>
      <c r="W37" s="131">
        <f t="shared" si="21"/>
        <v>181198</v>
      </c>
      <c r="X37" s="132">
        <f t="shared" si="21"/>
        <v>166978</v>
      </c>
      <c r="Y37" s="131">
        <f t="shared" si="21"/>
        <v>206728</v>
      </c>
      <c r="Z37" s="131">
        <f t="shared" si="21"/>
        <v>167003</v>
      </c>
      <c r="AA37" s="131">
        <f t="shared" si="21"/>
        <v>181570</v>
      </c>
      <c r="AB37" s="131">
        <f t="shared" si="21"/>
        <v>149372</v>
      </c>
      <c r="AC37" s="131">
        <f t="shared" si="21"/>
        <v>199471</v>
      </c>
      <c r="AD37" s="132">
        <f t="shared" si="21"/>
        <v>240259</v>
      </c>
      <c r="AE37" s="131">
        <f t="shared" si="21"/>
        <v>162065</v>
      </c>
      <c r="AF37" s="131">
        <f t="shared" si="21"/>
        <v>82350</v>
      </c>
      <c r="AG37" s="131">
        <f t="shared" si="21"/>
        <v>1198</v>
      </c>
      <c r="AH37" s="131">
        <f t="shared" si="21"/>
        <v>-80590</v>
      </c>
    </row>
    <row r="38" spans="1:34" ht="15">
      <c r="A38" s="133"/>
      <c r="B38" s="133"/>
      <c r="C38" s="133"/>
      <c r="D38" s="133"/>
      <c r="E38" s="129"/>
      <c r="F38" s="106"/>
      <c r="G38" s="106"/>
      <c r="H38" s="129"/>
      <c r="I38" s="6"/>
      <c r="J38" s="129"/>
      <c r="K38" s="129"/>
      <c r="L38" s="134" t="s">
        <v>54</v>
      </c>
      <c r="M38" s="129" t="s">
        <v>55</v>
      </c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35"/>
      <c r="AH38" s="135"/>
    </row>
    <row r="39" spans="1:34" ht="15" outlineLevel="1">
      <c r="A39" s="133"/>
      <c r="B39" s="133"/>
      <c r="C39" s="128"/>
      <c r="D39" s="133"/>
      <c r="E39" s="129"/>
      <c r="F39" s="129"/>
      <c r="G39" s="129"/>
      <c r="H39" s="129"/>
      <c r="I39" s="6"/>
      <c r="J39" s="875" t="s">
        <v>56</v>
      </c>
      <c r="K39" s="862"/>
      <c r="L39" s="862"/>
      <c r="M39" s="110" t="s">
        <v>14</v>
      </c>
      <c r="N39" s="110" t="s">
        <v>15</v>
      </c>
      <c r="O39" s="110" t="s">
        <v>16</v>
      </c>
      <c r="P39" s="110" t="s">
        <v>17</v>
      </c>
      <c r="Q39" s="110" t="s">
        <v>18</v>
      </c>
      <c r="R39" s="110" t="s">
        <v>19</v>
      </c>
      <c r="S39" s="110" t="s">
        <v>20</v>
      </c>
      <c r="T39" s="110" t="s">
        <v>21</v>
      </c>
      <c r="U39" s="110" t="s">
        <v>22</v>
      </c>
      <c r="V39" s="110" t="s">
        <v>23</v>
      </c>
      <c r="W39" s="110" t="s">
        <v>24</v>
      </c>
      <c r="X39" s="111" t="s">
        <v>25</v>
      </c>
      <c r="Y39" s="110" t="s">
        <v>26</v>
      </c>
      <c r="Z39" s="110" t="s">
        <v>15</v>
      </c>
      <c r="AA39" s="110" t="s">
        <v>16</v>
      </c>
      <c r="AB39" s="110" t="s">
        <v>17</v>
      </c>
      <c r="AC39" s="110" t="s">
        <v>18</v>
      </c>
      <c r="AD39" s="111" t="s">
        <v>19</v>
      </c>
      <c r="AE39" s="113" t="s">
        <v>20</v>
      </c>
      <c r="AF39" s="113" t="s">
        <v>21</v>
      </c>
      <c r="AG39" s="113" t="s">
        <v>22</v>
      </c>
      <c r="AH39" s="113" t="s">
        <v>23</v>
      </c>
    </row>
    <row r="40" spans="1:34" ht="15" outlineLevel="1">
      <c r="A40" s="133"/>
      <c r="B40" s="133"/>
      <c r="C40" s="128"/>
      <c r="D40" s="133"/>
      <c r="E40" s="129"/>
      <c r="F40" s="129"/>
      <c r="G40" s="129"/>
      <c r="H40" s="129"/>
      <c r="I40" s="6"/>
      <c r="J40" s="876" t="s">
        <v>57</v>
      </c>
      <c r="K40" s="25">
        <v>676366</v>
      </c>
      <c r="L40" s="26" t="s">
        <v>29</v>
      </c>
      <c r="M40" s="136">
        <f t="shared" ref="M40:AH40" si="22">M30/M19</f>
        <v>3.0565850758101276</v>
      </c>
      <c r="N40" s="136">
        <f t="shared" si="22"/>
        <v>2.0323500491642084</v>
      </c>
      <c r="O40" s="136">
        <f t="shared" si="22"/>
        <v>1.6348643206443572</v>
      </c>
      <c r="P40" s="136">
        <f t="shared" si="22"/>
        <v>1.2986335167963561</v>
      </c>
      <c r="Q40" s="136">
        <f t="shared" si="22"/>
        <v>0.9779966856932425</v>
      </c>
      <c r="R40" s="136">
        <f t="shared" si="22"/>
        <v>0.53415468856947301</v>
      </c>
      <c r="S40" s="136">
        <f t="shared" si="22"/>
        <v>1.1983275087368948</v>
      </c>
      <c r="T40" s="136">
        <f t="shared" si="22"/>
        <v>0.53405389398874736</v>
      </c>
      <c r="U40" s="136">
        <f t="shared" si="22"/>
        <v>4.9319444444444445</v>
      </c>
      <c r="V40" s="136">
        <f t="shared" si="22"/>
        <v>5.2152863111329566</v>
      </c>
      <c r="W40" s="136">
        <f t="shared" si="22"/>
        <v>5.7295111647555821</v>
      </c>
      <c r="X40" s="137">
        <f t="shared" si="22"/>
        <v>3.6233269598470361</v>
      </c>
      <c r="Y40" s="136">
        <f t="shared" si="22"/>
        <v>2.7266470009832844</v>
      </c>
      <c r="Z40" s="136">
        <f t="shared" si="22"/>
        <v>1.673286416658633</v>
      </c>
      <c r="AA40" s="136">
        <f t="shared" si="22"/>
        <v>1.3571560993696701</v>
      </c>
      <c r="AB40" s="136">
        <f t="shared" si="22"/>
        <v>0.3175845932325414</v>
      </c>
      <c r="AC40" s="136">
        <f t="shared" si="22"/>
        <v>0.26649191786806464</v>
      </c>
      <c r="AD40" s="137">
        <f t="shared" si="22"/>
        <v>0.96665477888730389</v>
      </c>
      <c r="AE40" s="136">
        <f t="shared" si="22"/>
        <v>-5.235556332488419E-2</v>
      </c>
      <c r="AF40" s="136">
        <f t="shared" si="22"/>
        <v>-1.0513281919451585</v>
      </c>
      <c r="AG40" s="138">
        <f t="shared" si="22"/>
        <v>-2.04098082470728</v>
      </c>
      <c r="AH40" s="138">
        <f t="shared" si="22"/>
        <v>-3.0825036793351224</v>
      </c>
    </row>
    <row r="41" spans="1:34" ht="15" outlineLevel="1">
      <c r="A41" s="133"/>
      <c r="B41" s="133"/>
      <c r="C41" s="133"/>
      <c r="D41" s="133"/>
      <c r="E41" s="129"/>
      <c r="F41" s="129"/>
      <c r="G41" s="129"/>
      <c r="H41" s="129"/>
      <c r="I41" s="6"/>
      <c r="J41" s="865"/>
      <c r="K41" s="25">
        <v>676367</v>
      </c>
      <c r="L41" s="26" t="s">
        <v>30</v>
      </c>
      <c r="M41" s="136">
        <f t="shared" ref="M41:AH41" si="23">M31/M20</f>
        <v>6.0006505122784191</v>
      </c>
      <c r="N41" s="136">
        <f t="shared" si="23"/>
        <v>5.3375533637568084</v>
      </c>
      <c r="O41" s="136">
        <f t="shared" si="23"/>
        <v>4.5912847483095414</v>
      </c>
      <c r="P41" s="136">
        <f t="shared" si="23"/>
        <v>4.4086053412462904</v>
      </c>
      <c r="Q41" s="136">
        <f t="shared" si="23"/>
        <v>3.0604784113133743</v>
      </c>
      <c r="R41" s="136">
        <f t="shared" si="23"/>
        <v>0</v>
      </c>
      <c r="S41" s="136">
        <f t="shared" si="23"/>
        <v>10.534013605442176</v>
      </c>
      <c r="T41" s="136">
        <f t="shared" si="23"/>
        <v>4.6714975845410631</v>
      </c>
      <c r="U41" s="136">
        <f t="shared" si="23"/>
        <v>5.1555247661932802</v>
      </c>
      <c r="V41" s="136">
        <f t="shared" si="23"/>
        <v>2.8993453355155481</v>
      </c>
      <c r="W41" s="136">
        <f t="shared" si="23"/>
        <v>5.9619868220983276</v>
      </c>
      <c r="X41" s="137">
        <f t="shared" si="23"/>
        <v>5.2937500000000002</v>
      </c>
      <c r="Y41" s="136">
        <f t="shared" si="23"/>
        <v>4.5359477124183005</v>
      </c>
      <c r="Z41" s="136">
        <f t="shared" si="23"/>
        <v>3.4035532994923856</v>
      </c>
      <c r="AA41" s="136">
        <f t="shared" si="23"/>
        <v>2.3372044794690998</v>
      </c>
      <c r="AB41" s="136">
        <f t="shared" si="23"/>
        <v>1.3141683778234086</v>
      </c>
      <c r="AC41" s="136">
        <f t="shared" si="23"/>
        <v>1.5385688658560892</v>
      </c>
      <c r="AD41" s="137">
        <f t="shared" si="23"/>
        <v>1.9183970099667773</v>
      </c>
      <c r="AE41" s="136">
        <f t="shared" si="23"/>
        <v>0.8809039087947883</v>
      </c>
      <c r="AF41" s="136">
        <f t="shared" si="23"/>
        <v>-0.13632734530938123</v>
      </c>
      <c r="AG41" s="139">
        <f t="shared" si="23"/>
        <v>-1.1336333398552143</v>
      </c>
      <c r="AH41" s="139">
        <f t="shared" si="23"/>
        <v>-2.1569488817891376</v>
      </c>
    </row>
    <row r="42" spans="1:34" ht="15" outlineLevel="1">
      <c r="A42" s="133"/>
      <c r="B42" s="133"/>
      <c r="C42" s="133"/>
      <c r="D42" s="133"/>
      <c r="E42" s="129"/>
      <c r="F42" s="129"/>
      <c r="G42" s="129"/>
      <c r="H42" s="129"/>
      <c r="I42" s="6"/>
      <c r="J42" s="865"/>
      <c r="K42" s="46">
        <v>676369</v>
      </c>
      <c r="L42" s="47" t="s">
        <v>31</v>
      </c>
      <c r="M42" s="136">
        <f t="shared" ref="M42:AH42" si="24">M32/M21</f>
        <v>4.8121518987341769</v>
      </c>
      <c r="N42" s="136">
        <f t="shared" si="24"/>
        <v>6.4603629417382997</v>
      </c>
      <c r="O42" s="136">
        <f t="shared" si="24"/>
        <v>5.3855306996668251</v>
      </c>
      <c r="P42" s="136">
        <f t="shared" si="24"/>
        <v>4.7977470558115716</v>
      </c>
      <c r="Q42" s="136">
        <f t="shared" si="24"/>
        <v>2.9529598308668077</v>
      </c>
      <c r="R42" s="136">
        <f t="shared" si="24"/>
        <v>2.1327731092436975</v>
      </c>
      <c r="S42" s="136">
        <f t="shared" si="24"/>
        <v>1.374089490114464</v>
      </c>
      <c r="T42" s="136">
        <f t="shared" si="24"/>
        <v>1.2651030561478323</v>
      </c>
      <c r="U42" s="136">
        <f t="shared" si="24"/>
        <v>4.8664021164021163</v>
      </c>
      <c r="V42" s="136">
        <f t="shared" si="24"/>
        <v>4.8475452196382429</v>
      </c>
      <c r="W42" s="136">
        <f t="shared" si="24"/>
        <v>4.6611418047882136</v>
      </c>
      <c r="X42" s="137">
        <f t="shared" si="24"/>
        <v>9.0658250676284933</v>
      </c>
      <c r="Y42" s="136">
        <f t="shared" si="24"/>
        <v>7.8192982456140347</v>
      </c>
      <c r="Z42" s="136">
        <f t="shared" si="24"/>
        <v>6.6646603611349953</v>
      </c>
      <c r="AA42" s="136">
        <f t="shared" si="24"/>
        <v>5.5354131534569984</v>
      </c>
      <c r="AB42" s="136">
        <f t="shared" si="24"/>
        <v>4.3723404255319149</v>
      </c>
      <c r="AC42" s="136">
        <f t="shared" si="24"/>
        <v>3.3298217179902756</v>
      </c>
      <c r="AD42" s="137">
        <f t="shared" si="24"/>
        <v>2.3986765922249793</v>
      </c>
      <c r="AE42" s="136">
        <f t="shared" si="24"/>
        <v>1.3751023751023752</v>
      </c>
      <c r="AF42" s="136">
        <f t="shared" si="24"/>
        <v>0.36171938361719386</v>
      </c>
      <c r="AG42" s="138">
        <f t="shared" si="24"/>
        <v>-0.6420545746388443</v>
      </c>
      <c r="AH42" s="138">
        <f t="shared" si="24"/>
        <v>-1.6622516556291391</v>
      </c>
    </row>
    <row r="43" spans="1:34" ht="15" outlineLevel="1">
      <c r="A43" s="140"/>
      <c r="B43" s="140"/>
      <c r="C43" s="140"/>
      <c r="D43" s="140"/>
      <c r="E43" s="2"/>
      <c r="F43" s="2"/>
      <c r="G43" s="2"/>
      <c r="H43" s="2"/>
      <c r="I43" s="6"/>
      <c r="J43" s="865"/>
      <c r="K43" s="52">
        <v>677211</v>
      </c>
      <c r="L43" s="53" t="s">
        <v>33</v>
      </c>
      <c r="M43" s="136">
        <f t="shared" ref="M43:AH43" si="25">M33/M22</f>
        <v>1.1485887478689145</v>
      </c>
      <c r="N43" s="136">
        <f t="shared" si="25"/>
        <v>1.5863827899756044</v>
      </c>
      <c r="O43" s="136">
        <f t="shared" si="25"/>
        <v>1.7515715234834159</v>
      </c>
      <c r="P43" s="136">
        <f t="shared" si="25"/>
        <v>0.55605051664753158</v>
      </c>
      <c r="Q43" s="136">
        <f t="shared" si="25"/>
        <v>1.990869096040508</v>
      </c>
      <c r="R43" s="136">
        <f t="shared" si="25"/>
        <v>2.2156573842149205</v>
      </c>
      <c r="S43" s="136">
        <f t="shared" si="25"/>
        <v>2.250490755535266</v>
      </c>
      <c r="T43" s="136">
        <f t="shared" si="25"/>
        <v>1.2658562842020276</v>
      </c>
      <c r="U43" s="136">
        <f t="shared" si="25"/>
        <v>1.7364093008182775</v>
      </c>
      <c r="V43" s="136">
        <f t="shared" si="25"/>
        <v>1.5310734463276836</v>
      </c>
      <c r="W43" s="136">
        <f t="shared" si="25"/>
        <v>0.76781639604484275</v>
      </c>
      <c r="X43" s="137">
        <f t="shared" si="25"/>
        <v>0.56181746166468627</v>
      </c>
      <c r="Y43" s="136">
        <f t="shared" si="25"/>
        <v>1.9975375375375375</v>
      </c>
      <c r="Z43" s="136">
        <f t="shared" si="25"/>
        <v>1.4844844844844844</v>
      </c>
      <c r="AA43" s="136">
        <f t="shared" si="25"/>
        <v>1.7740600877436552</v>
      </c>
      <c r="AB43" s="136">
        <f t="shared" si="25"/>
        <v>1.4884617458349059</v>
      </c>
      <c r="AC43" s="136">
        <f t="shared" si="25"/>
        <v>2.4789354054339783</v>
      </c>
      <c r="AD43" s="137">
        <f t="shared" si="25"/>
        <v>3.0828748651564184</v>
      </c>
      <c r="AE43" s="136">
        <f t="shared" si="25"/>
        <v>2.022474286771899</v>
      </c>
      <c r="AF43" s="136">
        <f t="shared" si="25"/>
        <v>0.98278811757996787</v>
      </c>
      <c r="AG43" s="141">
        <f t="shared" si="25"/>
        <v>-3.6468525248418003E-2</v>
      </c>
      <c r="AH43" s="141">
        <f t="shared" si="25"/>
        <v>-1.0357534383097469</v>
      </c>
    </row>
    <row r="44" spans="1:34" ht="15" outlineLevel="1">
      <c r="A44" s="1"/>
      <c r="B44" s="1"/>
      <c r="C44" s="1"/>
      <c r="D44" s="1"/>
      <c r="E44" s="2"/>
      <c r="F44" s="2"/>
      <c r="G44" s="2"/>
      <c r="H44" s="2"/>
      <c r="I44" s="6"/>
      <c r="J44" s="865"/>
      <c r="K44" s="52">
        <v>677200</v>
      </c>
      <c r="L44" s="53" t="s">
        <v>34</v>
      </c>
      <c r="M44" s="136">
        <f t="shared" ref="M44:AH44" si="26">M34/M23</f>
        <v>4.6523690252556875</v>
      </c>
      <c r="N44" s="136">
        <f t="shared" si="26"/>
        <v>3.0166727075027184</v>
      </c>
      <c r="O44" s="136">
        <f t="shared" si="26"/>
        <v>3.5801821421500692</v>
      </c>
      <c r="P44" s="136">
        <f t="shared" si="26"/>
        <v>2.4617481203007521</v>
      </c>
      <c r="Q44" s="136">
        <f t="shared" si="26"/>
        <v>3.7419158553546592</v>
      </c>
      <c r="R44" s="136">
        <f t="shared" si="26"/>
        <v>5.0279378724235615</v>
      </c>
      <c r="S44" s="136">
        <f t="shared" si="26"/>
        <v>2.8322104357798166</v>
      </c>
      <c r="T44" s="136">
        <f t="shared" si="26"/>
        <v>2.4635454946347202</v>
      </c>
      <c r="U44" s="136">
        <f t="shared" si="26"/>
        <v>1.2816239020679161</v>
      </c>
      <c r="V44" s="136">
        <f t="shared" si="26"/>
        <v>0.52798669939038878</v>
      </c>
      <c r="W44" s="136">
        <f t="shared" si="26"/>
        <v>2.3480742692259442</v>
      </c>
      <c r="X44" s="137">
        <f t="shared" si="26"/>
        <v>1.7976895734597156</v>
      </c>
      <c r="Y44" s="136">
        <f t="shared" si="26"/>
        <v>2.4785362853628534</v>
      </c>
      <c r="Z44" s="136">
        <f t="shared" si="26"/>
        <v>2.0645180366646954</v>
      </c>
      <c r="AA44" s="136">
        <f t="shared" si="26"/>
        <v>2.4006368340251321</v>
      </c>
      <c r="AB44" s="136">
        <f t="shared" si="26"/>
        <v>1.9455669647786242</v>
      </c>
      <c r="AC44" s="136">
        <f t="shared" si="26"/>
        <v>2.3295101297030762</v>
      </c>
      <c r="AD44" s="137">
        <f t="shared" si="26"/>
        <v>3.1405221821269369</v>
      </c>
      <c r="AE44" s="136">
        <f t="shared" si="26"/>
        <v>2.078924093439467</v>
      </c>
      <c r="AF44" s="136">
        <f t="shared" si="26"/>
        <v>1.0381005814546567</v>
      </c>
      <c r="AG44" s="142">
        <f t="shared" si="26"/>
        <v>1.7751775177517751E-2</v>
      </c>
      <c r="AH44" s="142">
        <f t="shared" si="26"/>
        <v>-0.98242400237647287</v>
      </c>
    </row>
    <row r="45" spans="1:34" ht="15" outlineLevel="1">
      <c r="A45" s="1"/>
      <c r="B45" s="1"/>
      <c r="C45" s="1"/>
      <c r="D45" s="1"/>
      <c r="E45" s="2"/>
      <c r="F45" s="2"/>
      <c r="G45" s="2"/>
      <c r="H45" s="2"/>
      <c r="I45" s="6"/>
      <c r="J45" s="865"/>
      <c r="K45" s="56">
        <v>677281</v>
      </c>
      <c r="L45" s="57" t="s">
        <v>35</v>
      </c>
      <c r="M45" s="136">
        <f t="shared" ref="M45:AH45" si="27">M35/M24</f>
        <v>5.8542172856647001</v>
      </c>
      <c r="N45" s="136">
        <f t="shared" si="27"/>
        <v>4.4859477124183007</v>
      </c>
      <c r="O45" s="136">
        <f t="shared" si="27"/>
        <v>6.3478120978120982</v>
      </c>
      <c r="P45" s="136">
        <f t="shared" si="27"/>
        <v>5.1721311475409832</v>
      </c>
      <c r="Q45" s="136">
        <f t="shared" si="27"/>
        <v>3.8903940886699506</v>
      </c>
      <c r="R45" s="136">
        <f t="shared" si="27"/>
        <v>7.5206812652068127</v>
      </c>
      <c r="S45" s="136">
        <f t="shared" si="27"/>
        <v>5.7464642980338043</v>
      </c>
      <c r="T45" s="136">
        <f t="shared" si="27"/>
        <v>5.3837976539589443</v>
      </c>
      <c r="U45" s="136">
        <f t="shared" si="27"/>
        <v>3.9506430309350016</v>
      </c>
      <c r="V45" s="136">
        <f t="shared" si="27"/>
        <v>4.0316223648029332</v>
      </c>
      <c r="W45" s="136">
        <f t="shared" si="27"/>
        <v>3.0242704420687661</v>
      </c>
      <c r="X45" s="137">
        <f t="shared" si="27"/>
        <v>3.0012322858903264</v>
      </c>
      <c r="Y45" s="136">
        <f t="shared" si="27"/>
        <v>2.9758169934640524</v>
      </c>
      <c r="Z45" s="136">
        <f t="shared" si="27"/>
        <v>1.9176545978852932</v>
      </c>
      <c r="AA45" s="136">
        <f t="shared" si="27"/>
        <v>3.2415201005025125</v>
      </c>
      <c r="AB45" s="136">
        <f t="shared" si="27"/>
        <v>3.5241057542768273</v>
      </c>
      <c r="AC45" s="136">
        <f t="shared" si="27"/>
        <v>4.7346059113300489</v>
      </c>
      <c r="AD45" s="137">
        <f t="shared" si="27"/>
        <v>3.8312912346842602</v>
      </c>
      <c r="AE45" s="136">
        <f t="shared" si="27"/>
        <v>2.7943372744243931</v>
      </c>
      <c r="AF45" s="136">
        <f t="shared" si="27"/>
        <v>1.7659377887280567</v>
      </c>
      <c r="AG45" s="143">
        <f t="shared" si="27"/>
        <v>0.74870387313205244</v>
      </c>
      <c r="AH45" s="143">
        <f t="shared" si="27"/>
        <v>-0.25875603864734298</v>
      </c>
    </row>
    <row r="46" spans="1:34" ht="15" outlineLevel="1">
      <c r="A46" s="1"/>
      <c r="B46" s="1"/>
      <c r="C46" s="1"/>
      <c r="D46" s="1"/>
      <c r="E46" s="2"/>
      <c r="F46" s="2"/>
      <c r="G46" s="2"/>
      <c r="H46" s="2"/>
      <c r="I46" s="6"/>
      <c r="J46" s="865"/>
      <c r="K46" s="58">
        <v>560277</v>
      </c>
      <c r="L46" s="59" t="s">
        <v>36</v>
      </c>
      <c r="M46" s="144"/>
      <c r="N46" s="144"/>
      <c r="O46" s="144"/>
      <c r="P46" s="144"/>
      <c r="Q46" s="144"/>
      <c r="R46" s="116"/>
      <c r="S46" s="116"/>
      <c r="T46" s="116"/>
      <c r="U46" s="116"/>
      <c r="V46" s="136">
        <f t="shared" ref="V46:AH46" si="28">V36/V25</f>
        <v>119.69686411149826</v>
      </c>
      <c r="W46" s="136">
        <f t="shared" si="28"/>
        <v>103.41337386018238</v>
      </c>
      <c r="X46" s="137">
        <f t="shared" si="28"/>
        <v>169.19095477386935</v>
      </c>
      <c r="Y46" s="136">
        <f t="shared" si="28"/>
        <v>101.02727272727273</v>
      </c>
      <c r="Z46" s="136">
        <f t="shared" si="28"/>
        <v>97.928783382789319</v>
      </c>
      <c r="AA46" s="136">
        <f t="shared" si="28"/>
        <v>96.064705882352939</v>
      </c>
      <c r="AB46" s="136">
        <f t="shared" si="28"/>
        <v>93.126801152737755</v>
      </c>
      <c r="AC46" s="136">
        <f t="shared" si="28"/>
        <v>89.518207282913167</v>
      </c>
      <c r="AD46" s="137">
        <f t="shared" si="28"/>
        <v>85.842391304347828</v>
      </c>
      <c r="AE46" s="136">
        <f t="shared" si="28"/>
        <v>85.785714285714292</v>
      </c>
      <c r="AF46" s="136">
        <f t="shared" si="28"/>
        <v>83.167115902964966</v>
      </c>
      <c r="AG46" s="143">
        <f t="shared" si="28"/>
        <v>79.561357702349866</v>
      </c>
      <c r="AH46" s="143">
        <f t="shared" si="28"/>
        <v>80.25866666666667</v>
      </c>
    </row>
    <row r="47" spans="1:34" ht="15" outlineLevel="1">
      <c r="A47" s="1"/>
      <c r="B47" s="1"/>
      <c r="C47" s="1"/>
      <c r="D47" s="1"/>
      <c r="E47" s="2"/>
      <c r="F47" s="2"/>
      <c r="G47" s="2"/>
      <c r="H47" s="2"/>
      <c r="I47" s="6"/>
      <c r="J47" s="145"/>
      <c r="K47" s="877" t="s">
        <v>38</v>
      </c>
      <c r="L47" s="870"/>
      <c r="M47" s="146">
        <f t="shared" ref="M47:P47" si="29">AVERAGE(M40:M45)</f>
        <v>4.2540937576020044</v>
      </c>
      <c r="N47" s="146">
        <f t="shared" si="29"/>
        <v>3.8198782607593231</v>
      </c>
      <c r="O47" s="146">
        <f t="shared" si="29"/>
        <v>3.8818742553443841</v>
      </c>
      <c r="P47" s="146">
        <f t="shared" si="29"/>
        <v>3.1158192830572475</v>
      </c>
      <c r="Q47" s="146">
        <f t="shared" ref="Q47:AH47" si="30">AVERAGE(Q40:Q46)</f>
        <v>2.7691023279897569</v>
      </c>
      <c r="R47" s="146">
        <f t="shared" si="30"/>
        <v>2.9052007199430769</v>
      </c>
      <c r="S47" s="146">
        <f t="shared" si="30"/>
        <v>3.9892660156070701</v>
      </c>
      <c r="T47" s="146">
        <f t="shared" si="30"/>
        <v>2.597308994578889</v>
      </c>
      <c r="U47" s="146">
        <f t="shared" si="30"/>
        <v>3.6537579268101728</v>
      </c>
      <c r="V47" s="146">
        <f t="shared" si="30"/>
        <v>19.821389069758002</v>
      </c>
      <c r="W47" s="146">
        <f t="shared" si="30"/>
        <v>17.986596394166295</v>
      </c>
      <c r="X47" s="147">
        <f t="shared" si="30"/>
        <v>27.50494230319423</v>
      </c>
      <c r="Y47" s="146">
        <f t="shared" si="30"/>
        <v>17.651579500378972</v>
      </c>
      <c r="Z47" s="146">
        <f t="shared" si="30"/>
        <v>16.448134368444258</v>
      </c>
      <c r="AA47" s="146">
        <f t="shared" si="30"/>
        <v>16.101528090988573</v>
      </c>
      <c r="AB47" s="146">
        <f t="shared" si="30"/>
        <v>15.155575573459426</v>
      </c>
      <c r="AC47" s="146">
        <f t="shared" si="30"/>
        <v>14.885163033013528</v>
      </c>
      <c r="AD47" s="147">
        <f t="shared" si="30"/>
        <v>14.454401138199215</v>
      </c>
      <c r="AE47" s="146">
        <f t="shared" si="30"/>
        <v>13.555014380131762</v>
      </c>
      <c r="AF47" s="146">
        <f t="shared" si="30"/>
        <v>12.304000891012901</v>
      </c>
      <c r="AG47" s="146">
        <f t="shared" si="30"/>
        <v>10.924953726601384</v>
      </c>
      <c r="AH47" s="146">
        <f t="shared" si="30"/>
        <v>10.154289852939957</v>
      </c>
    </row>
    <row r="48" spans="1:34" ht="15">
      <c r="A48" s="1"/>
      <c r="B48" s="1"/>
      <c r="C48" s="1"/>
      <c r="D48" s="1"/>
      <c r="E48" s="2"/>
      <c r="F48" s="2"/>
      <c r="G48" s="2"/>
      <c r="H48" s="2"/>
      <c r="I48" s="6"/>
      <c r="J48" s="1"/>
      <c r="K48" s="3"/>
      <c r="L48" s="3"/>
      <c r="AF48" s="4"/>
      <c r="AG48" s="4"/>
    </row>
    <row r="49" spans="3:33" ht="12.75">
      <c r="E49" s="148"/>
      <c r="F49" s="148"/>
      <c r="G49" s="148"/>
      <c r="H49" s="148"/>
      <c r="AF49" s="4"/>
      <c r="AG49" s="4"/>
    </row>
    <row r="50" spans="3:33" ht="12.75">
      <c r="E50" s="148"/>
      <c r="F50" s="148"/>
      <c r="G50" s="148"/>
      <c r="H50" s="148"/>
      <c r="AF50" s="4"/>
      <c r="AG50" s="4"/>
    </row>
    <row r="51" spans="3:33" ht="12.75">
      <c r="E51" s="148"/>
      <c r="F51" s="148"/>
      <c r="G51" s="148"/>
      <c r="H51" s="148"/>
      <c r="AF51" s="4"/>
      <c r="AG51" s="4"/>
    </row>
    <row r="52" spans="3:33" ht="14.25">
      <c r="C52" s="149"/>
      <c r="E52" s="148"/>
      <c r="F52" s="148"/>
      <c r="G52" s="148"/>
      <c r="H52" s="148"/>
      <c r="AF52" s="4"/>
      <c r="AG52" s="4"/>
    </row>
    <row r="53" spans="3:33" ht="14.25">
      <c r="C53" s="149"/>
      <c r="E53" s="148"/>
      <c r="F53" s="148"/>
      <c r="G53" s="148"/>
      <c r="H53" s="148"/>
      <c r="AF53" s="4"/>
      <c r="AG53" s="4"/>
    </row>
    <row r="54" spans="3:33" ht="14.25">
      <c r="C54" s="149"/>
      <c r="E54" s="148"/>
      <c r="F54" s="148"/>
      <c r="G54" s="148"/>
      <c r="H54" s="148"/>
      <c r="AF54" s="4"/>
      <c r="AG54" s="4"/>
    </row>
    <row r="55" spans="3:33" ht="14.25">
      <c r="C55" s="149"/>
      <c r="E55" s="148"/>
      <c r="F55" s="148"/>
      <c r="G55" s="148"/>
      <c r="H55" s="148"/>
      <c r="AF55" s="4"/>
      <c r="AG55" s="4"/>
    </row>
    <row r="56" spans="3:33" ht="12.75">
      <c r="E56" s="148"/>
      <c r="F56" s="148"/>
      <c r="G56" s="148"/>
      <c r="H56" s="148"/>
      <c r="AF56" s="4"/>
      <c r="AG56" s="4"/>
    </row>
    <row r="57" spans="3:33" ht="12.75">
      <c r="E57" s="148"/>
      <c r="F57" s="148"/>
      <c r="G57" s="148"/>
      <c r="H57" s="148"/>
      <c r="AF57" s="4"/>
      <c r="AG57" s="4"/>
    </row>
    <row r="58" spans="3:33" ht="12.75">
      <c r="E58" s="148"/>
      <c r="F58" s="148"/>
      <c r="G58" s="148"/>
      <c r="H58" s="148"/>
      <c r="AF58" s="4"/>
      <c r="AG58" s="4"/>
    </row>
    <row r="59" spans="3:33" ht="12.75">
      <c r="E59" s="148"/>
      <c r="F59" s="148"/>
      <c r="G59" s="148"/>
      <c r="H59" s="148"/>
      <c r="AF59" s="4"/>
      <c r="AG59" s="4"/>
    </row>
    <row r="60" spans="3:33" ht="12.75">
      <c r="E60" s="148"/>
      <c r="F60" s="148"/>
      <c r="G60" s="148"/>
      <c r="H60" s="148"/>
      <c r="AF60" s="4"/>
      <c r="AG60" s="4"/>
    </row>
    <row r="61" spans="3:33" ht="12.75">
      <c r="E61" s="148"/>
      <c r="F61" s="148"/>
      <c r="G61" s="148"/>
      <c r="H61" s="148"/>
      <c r="AF61" s="4"/>
      <c r="AG61" s="4"/>
    </row>
    <row r="62" spans="3:33" ht="12.75">
      <c r="E62" s="148"/>
      <c r="F62" s="148"/>
      <c r="G62" s="148"/>
      <c r="H62" s="148"/>
      <c r="AF62" s="4"/>
      <c r="AG62" s="4"/>
    </row>
    <row r="63" spans="3:33" ht="12.75">
      <c r="E63" s="148"/>
      <c r="F63" s="148"/>
      <c r="G63" s="148"/>
      <c r="H63" s="148"/>
      <c r="AF63" s="4"/>
      <c r="AG63" s="4"/>
    </row>
    <row r="64" spans="3:33" ht="12.75">
      <c r="E64" s="148"/>
      <c r="F64" s="148"/>
      <c r="G64" s="148"/>
      <c r="H64" s="148"/>
      <c r="AF64" s="4"/>
      <c r="AG64" s="4"/>
    </row>
    <row r="65" spans="5:33" ht="12.75">
      <c r="E65" s="148"/>
      <c r="F65" s="148"/>
      <c r="G65" s="148"/>
      <c r="H65" s="148"/>
      <c r="AF65" s="4"/>
      <c r="AG65" s="4"/>
    </row>
    <row r="66" spans="5:33" ht="12.75">
      <c r="E66" s="148"/>
      <c r="F66" s="148"/>
      <c r="G66" s="148"/>
      <c r="H66" s="148"/>
      <c r="AF66" s="4"/>
      <c r="AG66" s="4"/>
    </row>
    <row r="67" spans="5:33" ht="12.75">
      <c r="E67" s="148"/>
      <c r="F67" s="148"/>
      <c r="G67" s="148"/>
      <c r="H67" s="148"/>
      <c r="AF67" s="4"/>
      <c r="AG67" s="4"/>
    </row>
    <row r="68" spans="5:33" ht="12.75">
      <c r="E68" s="148"/>
      <c r="F68" s="148"/>
      <c r="G68" s="148"/>
      <c r="H68" s="148"/>
      <c r="AF68" s="4"/>
      <c r="AG68" s="4"/>
    </row>
    <row r="69" spans="5:33" ht="12.75">
      <c r="E69" s="148"/>
      <c r="F69" s="148"/>
      <c r="G69" s="148"/>
      <c r="H69" s="148"/>
      <c r="AF69" s="4"/>
      <c r="AG69" s="4"/>
    </row>
    <row r="70" spans="5:33" ht="12.75">
      <c r="E70" s="148"/>
      <c r="F70" s="148"/>
      <c r="G70" s="148"/>
      <c r="H70" s="148"/>
      <c r="AF70" s="4"/>
      <c r="AG70" s="4"/>
    </row>
    <row r="71" spans="5:33" ht="12.75">
      <c r="E71" s="148"/>
      <c r="F71" s="148"/>
      <c r="G71" s="148"/>
      <c r="H71" s="148"/>
      <c r="AF71" s="4"/>
      <c r="AG71" s="4"/>
    </row>
    <row r="72" spans="5:33" ht="12.75">
      <c r="E72" s="148"/>
      <c r="F72" s="148"/>
      <c r="G72" s="148"/>
      <c r="H72" s="148"/>
      <c r="AF72" s="4"/>
      <c r="AG72" s="4"/>
    </row>
    <row r="73" spans="5:33" ht="12.75">
      <c r="E73" s="148"/>
      <c r="F73" s="148"/>
      <c r="G73" s="148"/>
      <c r="H73" s="148"/>
      <c r="AF73" s="4"/>
      <c r="AG73" s="4"/>
    </row>
    <row r="74" spans="5:33" ht="12.75">
      <c r="E74" s="148"/>
      <c r="F74" s="148"/>
      <c r="G74" s="148"/>
      <c r="H74" s="148"/>
      <c r="AF74" s="4"/>
      <c r="AG74" s="4"/>
    </row>
    <row r="75" spans="5:33" ht="12.75">
      <c r="E75" s="148"/>
      <c r="F75" s="148"/>
      <c r="G75" s="148"/>
      <c r="H75" s="148"/>
      <c r="AF75" s="4"/>
      <c r="AG75" s="4"/>
    </row>
    <row r="76" spans="5:33" ht="12.75">
      <c r="E76" s="148"/>
      <c r="F76" s="148"/>
      <c r="G76" s="148"/>
      <c r="H76" s="148"/>
      <c r="AF76" s="4"/>
      <c r="AG76" s="4"/>
    </row>
    <row r="77" spans="5:33" ht="12.75">
      <c r="E77" s="148"/>
      <c r="F77" s="148"/>
      <c r="G77" s="148"/>
      <c r="H77" s="148"/>
      <c r="AF77" s="4"/>
      <c r="AG77" s="4"/>
    </row>
    <row r="78" spans="5:33" ht="12.75">
      <c r="E78" s="148"/>
      <c r="F78" s="148"/>
      <c r="G78" s="148"/>
      <c r="H78" s="148"/>
      <c r="AF78" s="4"/>
      <c r="AG78" s="4"/>
    </row>
    <row r="79" spans="5:33" ht="12.75">
      <c r="E79" s="148"/>
      <c r="F79" s="148"/>
      <c r="G79" s="148"/>
      <c r="H79" s="148"/>
      <c r="AF79" s="4"/>
      <c r="AG79" s="4"/>
    </row>
    <row r="80" spans="5:33" ht="12.75">
      <c r="E80" s="148"/>
      <c r="F80" s="148"/>
      <c r="G80" s="148"/>
      <c r="H80" s="148"/>
      <c r="AF80" s="4"/>
      <c r="AG80" s="4"/>
    </row>
    <row r="81" spans="5:33" ht="12.75">
      <c r="E81" s="148"/>
      <c r="F81" s="148"/>
      <c r="G81" s="148"/>
      <c r="H81" s="148"/>
      <c r="AF81" s="4"/>
      <c r="AG81" s="4"/>
    </row>
    <row r="82" spans="5:33" ht="12.75">
      <c r="E82" s="148"/>
      <c r="F82" s="148"/>
      <c r="G82" s="148"/>
      <c r="H82" s="148"/>
      <c r="AF82" s="4"/>
      <c r="AG82" s="4"/>
    </row>
    <row r="83" spans="5:33" ht="12.75">
      <c r="E83" s="148"/>
      <c r="F83" s="148"/>
      <c r="G83" s="148"/>
      <c r="H83" s="148"/>
      <c r="AF83" s="4"/>
      <c r="AG83" s="4"/>
    </row>
    <row r="84" spans="5:33" ht="12.75">
      <c r="E84" s="148"/>
      <c r="F84" s="148"/>
      <c r="G84" s="148"/>
      <c r="H84" s="148"/>
      <c r="AF84" s="4"/>
      <c r="AG84" s="4"/>
    </row>
    <row r="85" spans="5:33" ht="12.75">
      <c r="E85" s="148"/>
      <c r="F85" s="148"/>
      <c r="G85" s="148"/>
      <c r="H85" s="148"/>
      <c r="AF85" s="4"/>
      <c r="AG85" s="4"/>
    </row>
    <row r="86" spans="5:33" ht="12.75">
      <c r="E86" s="148"/>
      <c r="F86" s="148"/>
      <c r="G86" s="148"/>
      <c r="H86" s="148"/>
      <c r="AF86" s="4"/>
      <c r="AG86" s="4"/>
    </row>
    <row r="87" spans="5:33" ht="12.75">
      <c r="E87" s="148"/>
      <c r="F87" s="148"/>
      <c r="G87" s="148"/>
      <c r="H87" s="148"/>
      <c r="AF87" s="4"/>
      <c r="AG87" s="4"/>
    </row>
    <row r="88" spans="5:33" ht="12.75">
      <c r="E88" s="148"/>
      <c r="F88" s="148"/>
      <c r="G88" s="148"/>
      <c r="H88" s="148"/>
      <c r="AF88" s="4"/>
      <c r="AG88" s="4"/>
    </row>
    <row r="89" spans="5:33" ht="12.75">
      <c r="E89" s="148"/>
      <c r="F89" s="148"/>
      <c r="G89" s="148"/>
      <c r="H89" s="148"/>
      <c r="AF89" s="4"/>
      <c r="AG89" s="4"/>
    </row>
    <row r="90" spans="5:33" ht="12.75">
      <c r="E90" s="148"/>
      <c r="F90" s="148"/>
      <c r="G90" s="148"/>
      <c r="H90" s="148"/>
      <c r="AF90" s="4"/>
      <c r="AG90" s="4"/>
    </row>
    <row r="91" spans="5:33" ht="12.75">
      <c r="E91" s="148"/>
      <c r="F91" s="148"/>
      <c r="G91" s="148"/>
      <c r="H91" s="148"/>
      <c r="AF91" s="4"/>
      <c r="AG91" s="4"/>
    </row>
    <row r="92" spans="5:33" ht="12.75">
      <c r="E92" s="148"/>
      <c r="F92" s="148"/>
      <c r="G92" s="148"/>
      <c r="H92" s="148"/>
      <c r="AF92" s="4"/>
      <c r="AG92" s="4"/>
    </row>
    <row r="93" spans="5:33" ht="12.75">
      <c r="E93" s="148"/>
      <c r="F93" s="148"/>
      <c r="G93" s="148"/>
      <c r="H93" s="148"/>
      <c r="AF93" s="4"/>
      <c r="AG93" s="4"/>
    </row>
    <row r="94" spans="5:33" ht="12.75">
      <c r="E94" s="148"/>
      <c r="F94" s="148"/>
      <c r="G94" s="148"/>
      <c r="H94" s="148"/>
      <c r="AF94" s="4"/>
      <c r="AG94" s="4"/>
    </row>
    <row r="95" spans="5:33" ht="12.75">
      <c r="E95" s="148"/>
      <c r="F95" s="148"/>
      <c r="G95" s="148"/>
      <c r="H95" s="148"/>
      <c r="AF95" s="4"/>
      <c r="AG95" s="4"/>
    </row>
    <row r="96" spans="5:33" ht="12.75">
      <c r="E96" s="148"/>
      <c r="F96" s="148"/>
      <c r="G96" s="148"/>
      <c r="H96" s="148"/>
      <c r="AF96" s="4"/>
      <c r="AG96" s="4"/>
    </row>
    <row r="97" spans="5:33" ht="12.75">
      <c r="E97" s="148"/>
      <c r="F97" s="148"/>
      <c r="G97" s="148"/>
      <c r="H97" s="148"/>
      <c r="AF97" s="4"/>
      <c r="AG97" s="4"/>
    </row>
    <row r="98" spans="5:33" ht="12.75">
      <c r="E98" s="148"/>
      <c r="F98" s="148"/>
      <c r="G98" s="148"/>
      <c r="H98" s="148"/>
      <c r="AF98" s="4"/>
      <c r="AG98" s="4"/>
    </row>
    <row r="99" spans="5:33" ht="12.75">
      <c r="E99" s="148"/>
      <c r="F99" s="148"/>
      <c r="G99" s="148"/>
      <c r="H99" s="148"/>
      <c r="AF99" s="4"/>
      <c r="AG99" s="4"/>
    </row>
    <row r="100" spans="5:33" ht="12.75">
      <c r="E100" s="148"/>
      <c r="F100" s="148"/>
      <c r="G100" s="148"/>
      <c r="H100" s="148"/>
      <c r="AF100" s="4"/>
      <c r="AG100" s="4"/>
    </row>
    <row r="101" spans="5:33" ht="12.75">
      <c r="E101" s="148"/>
      <c r="F101" s="148"/>
      <c r="G101" s="148"/>
      <c r="H101" s="148"/>
      <c r="AF101" s="4"/>
      <c r="AG101" s="4"/>
    </row>
    <row r="102" spans="5:33" ht="12.75">
      <c r="E102" s="148"/>
      <c r="F102" s="148"/>
      <c r="G102" s="148"/>
      <c r="H102" s="148"/>
      <c r="AF102" s="4"/>
      <c r="AG102" s="4"/>
    </row>
    <row r="103" spans="5:33" ht="12.75">
      <c r="E103" s="148"/>
      <c r="F103" s="148"/>
      <c r="G103" s="148"/>
      <c r="H103" s="148"/>
      <c r="AF103" s="4"/>
      <c r="AG103" s="4"/>
    </row>
    <row r="104" spans="5:33" ht="12.75">
      <c r="E104" s="148"/>
      <c r="F104" s="148"/>
      <c r="G104" s="148"/>
      <c r="H104" s="148"/>
      <c r="AF104" s="4"/>
      <c r="AG104" s="4"/>
    </row>
    <row r="105" spans="5:33" ht="12.75">
      <c r="E105" s="148"/>
      <c r="F105" s="148"/>
      <c r="G105" s="148"/>
      <c r="H105" s="148"/>
      <c r="AF105" s="4"/>
      <c r="AG105" s="4"/>
    </row>
    <row r="106" spans="5:33" ht="12.75">
      <c r="E106" s="148"/>
      <c r="F106" s="148"/>
      <c r="G106" s="148"/>
      <c r="H106" s="148"/>
      <c r="AF106" s="4"/>
      <c r="AG106" s="4"/>
    </row>
    <row r="107" spans="5:33" ht="12.75">
      <c r="E107" s="148"/>
      <c r="F107" s="148"/>
      <c r="G107" s="148"/>
      <c r="H107" s="148"/>
      <c r="AF107" s="4"/>
      <c r="AG107" s="4"/>
    </row>
    <row r="108" spans="5:33" ht="12.75">
      <c r="E108" s="148"/>
      <c r="F108" s="148"/>
      <c r="G108" s="148"/>
      <c r="H108" s="148"/>
      <c r="AF108" s="4"/>
      <c r="AG108" s="4"/>
    </row>
    <row r="109" spans="5:33" ht="12.75">
      <c r="E109" s="148"/>
      <c r="F109" s="148"/>
      <c r="G109" s="148"/>
      <c r="H109" s="148"/>
      <c r="AF109" s="4"/>
      <c r="AG109" s="4"/>
    </row>
    <row r="110" spans="5:33" ht="12.75">
      <c r="E110" s="148"/>
      <c r="F110" s="148"/>
      <c r="G110" s="148"/>
      <c r="H110" s="148"/>
      <c r="AF110" s="4"/>
      <c r="AG110" s="4"/>
    </row>
    <row r="111" spans="5:33" ht="12.75">
      <c r="E111" s="148"/>
      <c r="F111" s="148"/>
      <c r="G111" s="148"/>
      <c r="H111" s="148"/>
      <c r="AF111" s="4"/>
      <c r="AG111" s="4"/>
    </row>
    <row r="112" spans="5:33" ht="12.75">
      <c r="E112" s="148"/>
      <c r="F112" s="148"/>
      <c r="G112" s="148"/>
      <c r="H112" s="148"/>
      <c r="AF112" s="4"/>
      <c r="AG112" s="4"/>
    </row>
    <row r="113" spans="5:33" ht="12.75">
      <c r="E113" s="148"/>
      <c r="F113" s="148"/>
      <c r="G113" s="148"/>
      <c r="H113" s="148"/>
      <c r="AF113" s="4"/>
      <c r="AG113" s="4"/>
    </row>
    <row r="114" spans="5:33" ht="12.75">
      <c r="E114" s="148"/>
      <c r="F114" s="148"/>
      <c r="G114" s="148"/>
      <c r="H114" s="148"/>
      <c r="AF114" s="4"/>
      <c r="AG114" s="4"/>
    </row>
    <row r="115" spans="5:33" ht="12.75">
      <c r="E115" s="148"/>
      <c r="F115" s="148"/>
      <c r="G115" s="148"/>
      <c r="H115" s="148"/>
      <c r="AF115" s="4"/>
      <c r="AG115" s="4"/>
    </row>
    <row r="116" spans="5:33" ht="12.75">
      <c r="E116" s="148"/>
      <c r="F116" s="148"/>
      <c r="G116" s="148"/>
      <c r="H116" s="148"/>
      <c r="AF116" s="4"/>
      <c r="AG116" s="4"/>
    </row>
    <row r="117" spans="5:33" ht="12.75">
      <c r="E117" s="148"/>
      <c r="F117" s="148"/>
      <c r="G117" s="148"/>
      <c r="H117" s="148"/>
      <c r="AF117" s="4"/>
      <c r="AG117" s="4"/>
    </row>
    <row r="118" spans="5:33" ht="12.75">
      <c r="E118" s="148"/>
      <c r="F118" s="148"/>
      <c r="G118" s="148"/>
      <c r="H118" s="148"/>
      <c r="AF118" s="4"/>
      <c r="AG118" s="4"/>
    </row>
    <row r="119" spans="5:33" ht="12.75">
      <c r="E119" s="148"/>
      <c r="F119" s="148"/>
      <c r="G119" s="148"/>
      <c r="H119" s="148"/>
      <c r="AF119" s="4"/>
      <c r="AG119" s="4"/>
    </row>
    <row r="120" spans="5:33" ht="12.75">
      <c r="E120" s="148"/>
      <c r="F120" s="148"/>
      <c r="G120" s="148"/>
      <c r="H120" s="148"/>
      <c r="AF120" s="4"/>
      <c r="AG120" s="4"/>
    </row>
    <row r="121" spans="5:33" ht="12.75">
      <c r="E121" s="148"/>
      <c r="F121" s="148"/>
      <c r="G121" s="148"/>
      <c r="H121" s="148"/>
      <c r="AF121" s="4"/>
      <c r="AG121" s="4"/>
    </row>
    <row r="122" spans="5:33" ht="12.75">
      <c r="E122" s="148"/>
      <c r="F122" s="148"/>
      <c r="G122" s="148"/>
      <c r="H122" s="148"/>
      <c r="AF122" s="4"/>
      <c r="AG122" s="4"/>
    </row>
    <row r="123" spans="5:33" ht="12.75">
      <c r="E123" s="148"/>
      <c r="F123" s="148"/>
      <c r="G123" s="148"/>
      <c r="H123" s="148"/>
      <c r="AF123" s="4"/>
      <c r="AG123" s="4"/>
    </row>
    <row r="124" spans="5:33" ht="12.75">
      <c r="E124" s="148"/>
      <c r="F124" s="148"/>
      <c r="G124" s="148"/>
      <c r="H124" s="148"/>
      <c r="AF124" s="4"/>
      <c r="AG124" s="4"/>
    </row>
    <row r="125" spans="5:33" ht="12.75">
      <c r="E125" s="148"/>
      <c r="F125" s="148"/>
      <c r="G125" s="148"/>
      <c r="H125" s="148"/>
      <c r="AF125" s="4"/>
      <c r="AG125" s="4"/>
    </row>
    <row r="126" spans="5:33" ht="12.75">
      <c r="E126" s="148"/>
      <c r="F126" s="148"/>
      <c r="G126" s="148"/>
      <c r="H126" s="148"/>
      <c r="AF126" s="4"/>
      <c r="AG126" s="4"/>
    </row>
    <row r="127" spans="5:33" ht="12.75">
      <c r="E127" s="148"/>
      <c r="F127" s="148"/>
      <c r="G127" s="148"/>
      <c r="H127" s="148"/>
      <c r="AF127" s="4"/>
      <c r="AG127" s="4"/>
    </row>
    <row r="128" spans="5:33" ht="12.75">
      <c r="E128" s="148"/>
      <c r="F128" s="148"/>
      <c r="G128" s="148"/>
      <c r="H128" s="148"/>
      <c r="AF128" s="4"/>
      <c r="AG128" s="4"/>
    </row>
    <row r="129" spans="5:33" ht="12.75">
      <c r="E129" s="148"/>
      <c r="F129" s="148"/>
      <c r="G129" s="148"/>
      <c r="H129" s="148"/>
      <c r="AF129" s="4"/>
      <c r="AG129" s="4"/>
    </row>
    <row r="130" spans="5:33" ht="12.75">
      <c r="E130" s="148"/>
      <c r="F130" s="148"/>
      <c r="G130" s="148"/>
      <c r="H130" s="148"/>
      <c r="AF130" s="4"/>
      <c r="AG130" s="4"/>
    </row>
    <row r="131" spans="5:33" ht="12.75">
      <c r="E131" s="148"/>
      <c r="F131" s="148"/>
      <c r="G131" s="148"/>
      <c r="H131" s="148"/>
      <c r="AF131" s="4"/>
      <c r="AG131" s="4"/>
    </row>
    <row r="132" spans="5:33" ht="12.75">
      <c r="E132" s="148"/>
      <c r="F132" s="148"/>
      <c r="G132" s="148"/>
      <c r="H132" s="148"/>
      <c r="AF132" s="4"/>
      <c r="AG132" s="4"/>
    </row>
    <row r="133" spans="5:33" ht="12.75">
      <c r="E133" s="148"/>
      <c r="F133" s="148"/>
      <c r="G133" s="148"/>
      <c r="H133" s="148"/>
      <c r="AF133" s="4"/>
      <c r="AG133" s="4"/>
    </row>
    <row r="134" spans="5:33" ht="12.75">
      <c r="E134" s="148"/>
      <c r="F134" s="148"/>
      <c r="G134" s="148"/>
      <c r="H134" s="148"/>
      <c r="AF134" s="4"/>
      <c r="AG134" s="4"/>
    </row>
    <row r="135" spans="5:33" ht="12.75">
      <c r="E135" s="148"/>
      <c r="F135" s="148"/>
      <c r="G135" s="148"/>
      <c r="H135" s="148"/>
      <c r="AF135" s="4"/>
      <c r="AG135" s="4"/>
    </row>
    <row r="136" spans="5:33" ht="12.75">
      <c r="E136" s="148"/>
      <c r="F136" s="148"/>
      <c r="G136" s="148"/>
      <c r="H136" s="148"/>
      <c r="AF136" s="4"/>
      <c r="AG136" s="4"/>
    </row>
    <row r="137" spans="5:33" ht="12.75">
      <c r="E137" s="148"/>
      <c r="F137" s="148"/>
      <c r="G137" s="148"/>
      <c r="H137" s="148"/>
      <c r="AF137" s="4"/>
      <c r="AG137" s="4"/>
    </row>
    <row r="138" spans="5:33" ht="12.75">
      <c r="E138" s="148"/>
      <c r="F138" s="148"/>
      <c r="G138" s="148"/>
      <c r="H138" s="148"/>
      <c r="AF138" s="4"/>
      <c r="AG138" s="4"/>
    </row>
    <row r="139" spans="5:33" ht="12.75">
      <c r="E139" s="148"/>
      <c r="F139" s="148"/>
      <c r="G139" s="148"/>
      <c r="H139" s="148"/>
      <c r="AF139" s="4"/>
      <c r="AG139" s="4"/>
    </row>
    <row r="140" spans="5:33" ht="12.75">
      <c r="E140" s="148"/>
      <c r="F140" s="148"/>
      <c r="G140" s="148"/>
      <c r="H140" s="148"/>
      <c r="AF140" s="4"/>
      <c r="AG140" s="4"/>
    </row>
    <row r="141" spans="5:33" ht="12.75">
      <c r="E141" s="148"/>
      <c r="F141" s="148"/>
      <c r="G141" s="148"/>
      <c r="H141" s="148"/>
      <c r="AF141" s="4"/>
      <c r="AG141" s="4"/>
    </row>
    <row r="142" spans="5:33" ht="12.75">
      <c r="E142" s="148"/>
      <c r="F142" s="148"/>
      <c r="G142" s="148"/>
      <c r="H142" s="148"/>
      <c r="AF142" s="4"/>
      <c r="AG142" s="4"/>
    </row>
    <row r="143" spans="5:33" ht="12.75">
      <c r="E143" s="148"/>
      <c r="F143" s="148"/>
      <c r="G143" s="148"/>
      <c r="H143" s="148"/>
      <c r="AF143" s="4"/>
      <c r="AG143" s="4"/>
    </row>
    <row r="144" spans="5:33" ht="12.75">
      <c r="E144" s="148"/>
      <c r="F144" s="148"/>
      <c r="G144" s="148"/>
      <c r="H144" s="148"/>
      <c r="AF144" s="4"/>
      <c r="AG144" s="4"/>
    </row>
    <row r="145" spans="5:33" ht="12.75">
      <c r="E145" s="148"/>
      <c r="F145" s="148"/>
      <c r="G145" s="148"/>
      <c r="H145" s="148"/>
      <c r="AF145" s="4"/>
      <c r="AG145" s="4"/>
    </row>
    <row r="146" spans="5:33" ht="12.75">
      <c r="E146" s="148"/>
      <c r="F146" s="148"/>
      <c r="G146" s="148"/>
      <c r="H146" s="148"/>
      <c r="AF146" s="4"/>
      <c r="AG146" s="4"/>
    </row>
    <row r="147" spans="5:33" ht="12.75">
      <c r="E147" s="148"/>
      <c r="F147" s="148"/>
      <c r="G147" s="148"/>
      <c r="H147" s="148"/>
      <c r="AF147" s="4"/>
      <c r="AG147" s="4"/>
    </row>
    <row r="148" spans="5:33" ht="12.75">
      <c r="E148" s="148"/>
      <c r="F148" s="148"/>
      <c r="G148" s="148"/>
      <c r="H148" s="148"/>
      <c r="AF148" s="4"/>
      <c r="AG148" s="4"/>
    </row>
    <row r="149" spans="5:33" ht="12.75">
      <c r="E149" s="148"/>
      <c r="F149" s="148"/>
      <c r="G149" s="148"/>
      <c r="H149" s="148"/>
      <c r="AF149" s="4"/>
      <c r="AG149" s="4"/>
    </row>
    <row r="150" spans="5:33" ht="12.75">
      <c r="E150" s="148"/>
      <c r="F150" s="148"/>
      <c r="G150" s="148"/>
      <c r="H150" s="148"/>
      <c r="AF150" s="4"/>
      <c r="AG150" s="4"/>
    </row>
    <row r="151" spans="5:33" ht="12.75">
      <c r="E151" s="148"/>
      <c r="F151" s="148"/>
      <c r="G151" s="148"/>
      <c r="H151" s="148"/>
      <c r="AF151" s="4"/>
      <c r="AG151" s="4"/>
    </row>
    <row r="152" spans="5:33" ht="12.75">
      <c r="E152" s="148"/>
      <c r="F152" s="148"/>
      <c r="G152" s="148"/>
      <c r="H152" s="148"/>
      <c r="AF152" s="4"/>
      <c r="AG152" s="4"/>
    </row>
    <row r="153" spans="5:33" ht="12.75">
      <c r="E153" s="148"/>
      <c r="F153" s="148"/>
      <c r="G153" s="148"/>
      <c r="H153" s="148"/>
      <c r="AF153" s="4"/>
      <c r="AG153" s="4"/>
    </row>
    <row r="154" spans="5:33" ht="12.75">
      <c r="E154" s="148"/>
      <c r="F154" s="148"/>
      <c r="G154" s="148"/>
      <c r="H154" s="148"/>
      <c r="AF154" s="4"/>
      <c r="AG154" s="4"/>
    </row>
    <row r="155" spans="5:33" ht="12.75">
      <c r="E155" s="148"/>
      <c r="F155" s="148"/>
      <c r="G155" s="148"/>
      <c r="H155" s="148"/>
      <c r="AF155" s="4"/>
      <c r="AG155" s="4"/>
    </row>
    <row r="156" spans="5:33" ht="12.75">
      <c r="E156" s="148"/>
      <c r="F156" s="148"/>
      <c r="G156" s="148"/>
      <c r="H156" s="148"/>
      <c r="AF156" s="4"/>
      <c r="AG156" s="4"/>
    </row>
    <row r="157" spans="5:33" ht="12.75">
      <c r="E157" s="148"/>
      <c r="F157" s="148"/>
      <c r="G157" s="148"/>
      <c r="H157" s="148"/>
      <c r="AF157" s="4"/>
      <c r="AG157" s="4"/>
    </row>
    <row r="158" spans="5:33" ht="12.75">
      <c r="E158" s="148"/>
      <c r="F158" s="148"/>
      <c r="G158" s="148"/>
      <c r="H158" s="148"/>
      <c r="AF158" s="4"/>
      <c r="AG158" s="4"/>
    </row>
    <row r="159" spans="5:33" ht="12.75">
      <c r="E159" s="148"/>
      <c r="F159" s="148"/>
      <c r="G159" s="148"/>
      <c r="H159" s="148"/>
      <c r="AF159" s="4"/>
      <c r="AG159" s="4"/>
    </row>
    <row r="160" spans="5:33" ht="12.75">
      <c r="E160" s="148"/>
      <c r="F160" s="148"/>
      <c r="G160" s="148"/>
      <c r="H160" s="148"/>
      <c r="AF160" s="4"/>
      <c r="AG160" s="4"/>
    </row>
    <row r="161" spans="5:33" ht="12.75">
      <c r="E161" s="148"/>
      <c r="F161" s="148"/>
      <c r="G161" s="148"/>
      <c r="H161" s="148"/>
      <c r="AF161" s="4"/>
      <c r="AG161" s="4"/>
    </row>
    <row r="162" spans="5:33" ht="12.75">
      <c r="E162" s="148"/>
      <c r="F162" s="148"/>
      <c r="G162" s="148"/>
      <c r="H162" s="148"/>
      <c r="AF162" s="4"/>
      <c r="AG162" s="4"/>
    </row>
    <row r="163" spans="5:33" ht="12.75">
      <c r="E163" s="148"/>
      <c r="F163" s="148"/>
      <c r="G163" s="148"/>
      <c r="H163" s="148"/>
      <c r="AF163" s="4"/>
      <c r="AG163" s="4"/>
    </row>
    <row r="164" spans="5:33" ht="12.75">
      <c r="E164" s="148"/>
      <c r="F164" s="148"/>
      <c r="G164" s="148"/>
      <c r="H164" s="148"/>
      <c r="AF164" s="4"/>
      <c r="AG164" s="4"/>
    </row>
    <row r="165" spans="5:33" ht="12.75">
      <c r="E165" s="148"/>
      <c r="F165" s="148"/>
      <c r="G165" s="148"/>
      <c r="H165" s="148"/>
      <c r="AF165" s="4"/>
      <c r="AG165" s="4"/>
    </row>
    <row r="166" spans="5:33" ht="12.75">
      <c r="E166" s="148"/>
      <c r="F166" s="148"/>
      <c r="G166" s="148"/>
      <c r="H166" s="148"/>
      <c r="AF166" s="4"/>
      <c r="AG166" s="4"/>
    </row>
    <row r="167" spans="5:33" ht="12.75">
      <c r="E167" s="148"/>
      <c r="F167" s="148"/>
      <c r="G167" s="148"/>
      <c r="H167" s="148"/>
      <c r="AF167" s="4"/>
      <c r="AG167" s="4"/>
    </row>
    <row r="168" spans="5:33" ht="12.75">
      <c r="E168" s="148"/>
      <c r="F168" s="148"/>
      <c r="G168" s="148"/>
      <c r="H168" s="148"/>
      <c r="AF168" s="4"/>
      <c r="AG168" s="4"/>
    </row>
    <row r="169" spans="5:33" ht="12.75">
      <c r="E169" s="148"/>
      <c r="F169" s="148"/>
      <c r="G169" s="148"/>
      <c r="H169" s="148"/>
      <c r="AF169" s="4"/>
      <c r="AG169" s="4"/>
    </row>
    <row r="170" spans="5:33" ht="12.75">
      <c r="E170" s="148"/>
      <c r="F170" s="148"/>
      <c r="G170" s="148"/>
      <c r="H170" s="148"/>
      <c r="AF170" s="4"/>
      <c r="AG170" s="4"/>
    </row>
    <row r="171" spans="5:33" ht="12.75">
      <c r="E171" s="148"/>
      <c r="F171" s="148"/>
      <c r="G171" s="148"/>
      <c r="H171" s="148"/>
      <c r="AF171" s="4"/>
      <c r="AG171" s="4"/>
    </row>
    <row r="172" spans="5:33" ht="12.75">
      <c r="E172" s="148"/>
      <c r="F172" s="148"/>
      <c r="G172" s="148"/>
      <c r="H172" s="148"/>
      <c r="AF172" s="4"/>
      <c r="AG172" s="4"/>
    </row>
    <row r="173" spans="5:33" ht="12.75">
      <c r="E173" s="148"/>
      <c r="F173" s="148"/>
      <c r="G173" s="148"/>
      <c r="H173" s="148"/>
      <c r="AF173" s="4"/>
      <c r="AG173" s="4"/>
    </row>
    <row r="174" spans="5:33" ht="12.75">
      <c r="E174" s="148"/>
      <c r="F174" s="148"/>
      <c r="G174" s="148"/>
      <c r="H174" s="148"/>
      <c r="AF174" s="4"/>
      <c r="AG174" s="4"/>
    </row>
    <row r="175" spans="5:33" ht="12.75">
      <c r="E175" s="148"/>
      <c r="F175" s="148"/>
      <c r="G175" s="148"/>
      <c r="H175" s="148"/>
      <c r="AF175" s="4"/>
      <c r="AG175" s="4"/>
    </row>
    <row r="176" spans="5:33" ht="12.75">
      <c r="E176" s="148"/>
      <c r="F176" s="148"/>
      <c r="G176" s="148"/>
      <c r="H176" s="148"/>
      <c r="AF176" s="4"/>
      <c r="AG176" s="4"/>
    </row>
    <row r="177" spans="5:33" ht="12.75">
      <c r="E177" s="148"/>
      <c r="F177" s="148"/>
      <c r="G177" s="148"/>
      <c r="H177" s="148"/>
      <c r="AF177" s="4"/>
      <c r="AG177" s="4"/>
    </row>
    <row r="178" spans="5:33" ht="12.75">
      <c r="E178" s="148"/>
      <c r="F178" s="148"/>
      <c r="G178" s="148"/>
      <c r="H178" s="148"/>
      <c r="AF178" s="4"/>
      <c r="AG178" s="4"/>
    </row>
    <row r="179" spans="5:33" ht="12.75">
      <c r="E179" s="148"/>
      <c r="F179" s="148"/>
      <c r="G179" s="148"/>
      <c r="H179" s="148"/>
      <c r="AF179" s="4"/>
      <c r="AG179" s="4"/>
    </row>
    <row r="180" spans="5:33" ht="12.75">
      <c r="E180" s="148"/>
      <c r="F180" s="148"/>
      <c r="G180" s="148"/>
      <c r="H180" s="148"/>
      <c r="AF180" s="4"/>
      <c r="AG180" s="4"/>
    </row>
    <row r="181" spans="5:33" ht="12.75">
      <c r="E181" s="148"/>
      <c r="F181" s="148"/>
      <c r="G181" s="148"/>
      <c r="H181" s="148"/>
      <c r="AF181" s="4"/>
      <c r="AG181" s="4"/>
    </row>
    <row r="182" spans="5:33" ht="12.75">
      <c r="E182" s="148"/>
      <c r="F182" s="148"/>
      <c r="G182" s="148"/>
      <c r="H182" s="148"/>
      <c r="AF182" s="4"/>
      <c r="AG182" s="4"/>
    </row>
    <row r="183" spans="5:33" ht="12.75">
      <c r="E183" s="148"/>
      <c r="F183" s="148"/>
      <c r="G183" s="148"/>
      <c r="H183" s="148"/>
      <c r="AF183" s="4"/>
      <c r="AG183" s="4"/>
    </row>
    <row r="184" spans="5:33" ht="12.75">
      <c r="E184" s="148"/>
      <c r="F184" s="148"/>
      <c r="G184" s="148"/>
      <c r="H184" s="148"/>
      <c r="AF184" s="4"/>
      <c r="AG184" s="4"/>
    </row>
    <row r="185" spans="5:33" ht="12.75">
      <c r="E185" s="148"/>
      <c r="F185" s="148"/>
      <c r="G185" s="148"/>
      <c r="H185" s="148"/>
      <c r="AF185" s="4"/>
      <c r="AG185" s="4"/>
    </row>
    <row r="186" spans="5:33" ht="12.75">
      <c r="E186" s="148"/>
      <c r="F186" s="148"/>
      <c r="G186" s="148"/>
      <c r="H186" s="148"/>
      <c r="AF186" s="4"/>
      <c r="AG186" s="4"/>
    </row>
    <row r="187" spans="5:33" ht="12.75">
      <c r="E187" s="148"/>
      <c r="F187" s="148"/>
      <c r="G187" s="148"/>
      <c r="H187" s="148"/>
      <c r="AF187" s="4"/>
      <c r="AG187" s="4"/>
    </row>
    <row r="188" spans="5:33" ht="12.75">
      <c r="E188" s="148"/>
      <c r="F188" s="148"/>
      <c r="G188" s="148"/>
      <c r="H188" s="148"/>
      <c r="AF188" s="4"/>
      <c r="AG188" s="4"/>
    </row>
    <row r="189" spans="5:33" ht="12.75">
      <c r="E189" s="148"/>
      <c r="F189" s="148"/>
      <c r="G189" s="148"/>
      <c r="H189" s="148"/>
      <c r="AF189" s="4"/>
      <c r="AG189" s="4"/>
    </row>
    <row r="190" spans="5:33" ht="12.75">
      <c r="E190" s="148"/>
      <c r="F190" s="148"/>
      <c r="G190" s="148"/>
      <c r="H190" s="148"/>
      <c r="AF190" s="4"/>
      <c r="AG190" s="4"/>
    </row>
    <row r="191" spans="5:33" ht="12.75">
      <c r="E191" s="148"/>
      <c r="F191" s="148"/>
      <c r="G191" s="148"/>
      <c r="H191" s="148"/>
      <c r="AF191" s="4"/>
      <c r="AG191" s="4"/>
    </row>
    <row r="192" spans="5:33" ht="12.75">
      <c r="E192" s="148"/>
      <c r="F192" s="148"/>
      <c r="G192" s="148"/>
      <c r="H192" s="148"/>
      <c r="AF192" s="4"/>
      <c r="AG192" s="4"/>
    </row>
    <row r="193" spans="5:33" ht="12.75">
      <c r="E193" s="148"/>
      <c r="F193" s="148"/>
      <c r="G193" s="148"/>
      <c r="H193" s="148"/>
      <c r="AF193" s="4"/>
      <c r="AG193" s="4"/>
    </row>
    <row r="194" spans="5:33" ht="12.75">
      <c r="E194" s="148"/>
      <c r="F194" s="148"/>
      <c r="G194" s="148"/>
      <c r="H194" s="148"/>
      <c r="AF194" s="4"/>
      <c r="AG194" s="4"/>
    </row>
    <row r="195" spans="5:33" ht="12.75">
      <c r="E195" s="148"/>
      <c r="F195" s="148"/>
      <c r="G195" s="148"/>
      <c r="H195" s="148"/>
      <c r="AF195" s="4"/>
      <c r="AG195" s="4"/>
    </row>
    <row r="196" spans="5:33" ht="12.75">
      <c r="E196" s="148"/>
      <c r="F196" s="148"/>
      <c r="G196" s="148"/>
      <c r="H196" s="148"/>
      <c r="AF196" s="4"/>
      <c r="AG196" s="4"/>
    </row>
    <row r="197" spans="5:33" ht="12.75">
      <c r="E197" s="148"/>
      <c r="F197" s="148"/>
      <c r="G197" s="148"/>
      <c r="H197" s="148"/>
      <c r="AF197" s="4"/>
      <c r="AG197" s="4"/>
    </row>
    <row r="198" spans="5:33" ht="12.75">
      <c r="E198" s="148"/>
      <c r="F198" s="148"/>
      <c r="G198" s="148"/>
      <c r="H198" s="148"/>
      <c r="AF198" s="4"/>
      <c r="AG198" s="4"/>
    </row>
    <row r="199" spans="5:33" ht="12.75">
      <c r="E199" s="148"/>
      <c r="F199" s="148"/>
      <c r="G199" s="148"/>
      <c r="H199" s="148"/>
      <c r="AF199" s="4"/>
      <c r="AG199" s="4"/>
    </row>
    <row r="200" spans="5:33" ht="12.75">
      <c r="E200" s="148"/>
      <c r="F200" s="148"/>
      <c r="G200" s="148"/>
      <c r="H200" s="148"/>
      <c r="AF200" s="4"/>
      <c r="AG200" s="4"/>
    </row>
    <row r="201" spans="5:33" ht="12.75">
      <c r="E201" s="148"/>
      <c r="F201" s="148"/>
      <c r="G201" s="148"/>
      <c r="H201" s="148"/>
      <c r="AF201" s="4"/>
      <c r="AG201" s="4"/>
    </row>
    <row r="202" spans="5:33" ht="12.75">
      <c r="E202" s="148"/>
      <c r="F202" s="148"/>
      <c r="G202" s="148"/>
      <c r="H202" s="148"/>
      <c r="AF202" s="4"/>
      <c r="AG202" s="4"/>
    </row>
    <row r="203" spans="5:33" ht="12.75">
      <c r="E203" s="148"/>
      <c r="F203" s="148"/>
      <c r="G203" s="148"/>
      <c r="H203" s="148"/>
      <c r="AF203" s="4"/>
      <c r="AG203" s="4"/>
    </row>
    <row r="204" spans="5:33" ht="12.75">
      <c r="E204" s="148"/>
      <c r="F204" s="148"/>
      <c r="G204" s="148"/>
      <c r="H204" s="148"/>
      <c r="AF204" s="4"/>
      <c r="AG204" s="4"/>
    </row>
    <row r="205" spans="5:33" ht="12.75">
      <c r="E205" s="148"/>
      <c r="F205" s="148"/>
      <c r="G205" s="148"/>
      <c r="H205" s="148"/>
      <c r="AF205" s="4"/>
      <c r="AG205" s="4"/>
    </row>
    <row r="206" spans="5:33" ht="12.75">
      <c r="E206" s="148"/>
      <c r="F206" s="148"/>
      <c r="G206" s="148"/>
      <c r="H206" s="148"/>
      <c r="AF206" s="4"/>
      <c r="AG206" s="4"/>
    </row>
    <row r="207" spans="5:33" ht="12.75">
      <c r="E207" s="148"/>
      <c r="F207" s="148"/>
      <c r="G207" s="148"/>
      <c r="H207" s="148"/>
      <c r="AF207" s="4"/>
      <c r="AG207" s="4"/>
    </row>
    <row r="208" spans="5:33" ht="12.75">
      <c r="E208" s="148"/>
      <c r="F208" s="148"/>
      <c r="G208" s="148"/>
      <c r="H208" s="148"/>
      <c r="AF208" s="4"/>
      <c r="AG208" s="4"/>
    </row>
    <row r="209" spans="5:33" ht="12.75">
      <c r="E209" s="148"/>
      <c r="F209" s="148"/>
      <c r="G209" s="148"/>
      <c r="H209" s="148"/>
      <c r="AF209" s="4"/>
      <c r="AG209" s="4"/>
    </row>
    <row r="210" spans="5:33" ht="12.75">
      <c r="E210" s="148"/>
      <c r="F210" s="148"/>
      <c r="G210" s="148"/>
      <c r="H210" s="148"/>
      <c r="AF210" s="4"/>
      <c r="AG210" s="4"/>
    </row>
    <row r="211" spans="5:33" ht="12.75">
      <c r="E211" s="148"/>
      <c r="F211" s="148"/>
      <c r="G211" s="148"/>
      <c r="H211" s="148"/>
      <c r="AF211" s="4"/>
      <c r="AG211" s="4"/>
    </row>
    <row r="212" spans="5:33" ht="12.75">
      <c r="E212" s="148"/>
      <c r="F212" s="148"/>
      <c r="G212" s="148"/>
      <c r="H212" s="148"/>
      <c r="AF212" s="4"/>
      <c r="AG212" s="4"/>
    </row>
    <row r="213" spans="5:33" ht="12.75">
      <c r="E213" s="148"/>
      <c r="F213" s="148"/>
      <c r="G213" s="148"/>
      <c r="H213" s="148"/>
      <c r="AF213" s="4"/>
      <c r="AG213" s="4"/>
    </row>
    <row r="214" spans="5:33" ht="12.75">
      <c r="E214" s="148"/>
      <c r="F214" s="148"/>
      <c r="G214" s="148"/>
      <c r="H214" s="148"/>
      <c r="AF214" s="4"/>
      <c r="AG214" s="4"/>
    </row>
    <row r="215" spans="5:33" ht="12.75">
      <c r="E215" s="148"/>
      <c r="F215" s="148"/>
      <c r="G215" s="148"/>
      <c r="H215" s="148"/>
      <c r="AF215" s="4"/>
      <c r="AG215" s="4"/>
    </row>
    <row r="216" spans="5:33" ht="12.75">
      <c r="E216" s="148"/>
      <c r="F216" s="148"/>
      <c r="G216" s="148"/>
      <c r="H216" s="148"/>
      <c r="AF216" s="4"/>
      <c r="AG216" s="4"/>
    </row>
    <row r="217" spans="5:33" ht="12.75">
      <c r="E217" s="148"/>
      <c r="F217" s="148"/>
      <c r="G217" s="148"/>
      <c r="H217" s="148"/>
      <c r="AF217" s="4"/>
      <c r="AG217" s="4"/>
    </row>
    <row r="218" spans="5:33" ht="12.75">
      <c r="E218" s="148"/>
      <c r="F218" s="148"/>
      <c r="G218" s="148"/>
      <c r="H218" s="148"/>
      <c r="AF218" s="4"/>
      <c r="AG218" s="4"/>
    </row>
    <row r="219" spans="5:33" ht="12.75">
      <c r="E219" s="148"/>
      <c r="F219" s="148"/>
      <c r="G219" s="148"/>
      <c r="H219" s="148"/>
      <c r="AF219" s="4"/>
      <c r="AG219" s="4"/>
    </row>
    <row r="220" spans="5:33" ht="12.75">
      <c r="E220" s="148"/>
      <c r="F220" s="148"/>
      <c r="G220" s="148"/>
      <c r="H220" s="148"/>
      <c r="AF220" s="4"/>
      <c r="AG220" s="4"/>
    </row>
    <row r="221" spans="5:33" ht="12.75">
      <c r="E221" s="148"/>
      <c r="F221" s="148"/>
      <c r="G221" s="148"/>
      <c r="H221" s="148"/>
      <c r="AF221" s="4"/>
      <c r="AG221" s="4"/>
    </row>
    <row r="222" spans="5:33" ht="12.75">
      <c r="E222" s="148"/>
      <c r="F222" s="148"/>
      <c r="G222" s="148"/>
      <c r="H222" s="148"/>
      <c r="AF222" s="4"/>
      <c r="AG222" s="4"/>
    </row>
    <row r="223" spans="5:33" ht="12.75">
      <c r="E223" s="148"/>
      <c r="F223" s="148"/>
      <c r="G223" s="148"/>
      <c r="H223" s="148"/>
      <c r="AF223" s="4"/>
      <c r="AG223" s="4"/>
    </row>
    <row r="224" spans="5:33" ht="12.75">
      <c r="E224" s="148"/>
      <c r="F224" s="148"/>
      <c r="G224" s="148"/>
      <c r="H224" s="148"/>
      <c r="AF224" s="4"/>
      <c r="AG224" s="4"/>
    </row>
    <row r="225" spans="5:33" ht="12.75">
      <c r="E225" s="148"/>
      <c r="F225" s="148"/>
      <c r="G225" s="148"/>
      <c r="H225" s="148"/>
      <c r="AF225" s="4"/>
      <c r="AG225" s="4"/>
    </row>
    <row r="226" spans="5:33" ht="12.75">
      <c r="E226" s="148"/>
      <c r="F226" s="148"/>
      <c r="G226" s="148"/>
      <c r="H226" s="148"/>
      <c r="AF226" s="4"/>
      <c r="AG226" s="4"/>
    </row>
    <row r="227" spans="5:33" ht="12.75">
      <c r="E227" s="148"/>
      <c r="F227" s="148"/>
      <c r="G227" s="148"/>
      <c r="H227" s="148"/>
      <c r="AF227" s="4"/>
      <c r="AG227" s="4"/>
    </row>
    <row r="228" spans="5:33" ht="12.75">
      <c r="E228" s="148"/>
      <c r="F228" s="148"/>
      <c r="G228" s="148"/>
      <c r="H228" s="148"/>
      <c r="AF228" s="4"/>
      <c r="AG228" s="4"/>
    </row>
    <row r="229" spans="5:33" ht="12.75">
      <c r="E229" s="148"/>
      <c r="F229" s="148"/>
      <c r="G229" s="148"/>
      <c r="H229" s="148"/>
      <c r="AF229" s="4"/>
      <c r="AG229" s="4"/>
    </row>
    <row r="230" spans="5:33" ht="12.75">
      <c r="E230" s="148"/>
      <c r="F230" s="148"/>
      <c r="G230" s="148"/>
      <c r="H230" s="148"/>
      <c r="AF230" s="4"/>
      <c r="AG230" s="4"/>
    </row>
    <row r="231" spans="5:33" ht="12.75">
      <c r="E231" s="148"/>
      <c r="F231" s="148"/>
      <c r="G231" s="148"/>
      <c r="H231" s="148"/>
      <c r="AF231" s="4"/>
      <c r="AG231" s="4"/>
    </row>
    <row r="232" spans="5:33" ht="12.75">
      <c r="E232" s="148"/>
      <c r="F232" s="148"/>
      <c r="G232" s="148"/>
      <c r="H232" s="148"/>
      <c r="AF232" s="4"/>
      <c r="AG232" s="4"/>
    </row>
    <row r="233" spans="5:33" ht="12.75">
      <c r="E233" s="148"/>
      <c r="F233" s="148"/>
      <c r="G233" s="148"/>
      <c r="H233" s="148"/>
      <c r="AF233" s="4"/>
      <c r="AG233" s="4"/>
    </row>
    <row r="234" spans="5:33" ht="12.75">
      <c r="E234" s="148"/>
      <c r="F234" s="148"/>
      <c r="G234" s="148"/>
      <c r="H234" s="148"/>
      <c r="AF234" s="4"/>
      <c r="AG234" s="4"/>
    </row>
    <row r="235" spans="5:33" ht="12.75">
      <c r="E235" s="148"/>
      <c r="F235" s="148"/>
      <c r="G235" s="148"/>
      <c r="H235" s="148"/>
      <c r="AF235" s="4"/>
      <c r="AG235" s="4"/>
    </row>
    <row r="236" spans="5:33" ht="12.75">
      <c r="E236" s="148"/>
      <c r="F236" s="148"/>
      <c r="G236" s="148"/>
      <c r="H236" s="148"/>
      <c r="AF236" s="4"/>
      <c r="AG236" s="4"/>
    </row>
    <row r="237" spans="5:33" ht="12.75">
      <c r="E237" s="148"/>
      <c r="F237" s="148"/>
      <c r="G237" s="148"/>
      <c r="H237" s="148"/>
      <c r="AF237" s="4"/>
      <c r="AG237" s="4"/>
    </row>
    <row r="238" spans="5:33" ht="12.75">
      <c r="E238" s="148"/>
      <c r="F238" s="148"/>
      <c r="G238" s="148"/>
      <c r="H238" s="148"/>
      <c r="AF238" s="4"/>
      <c r="AG238" s="4"/>
    </row>
    <row r="239" spans="5:33" ht="12.75">
      <c r="E239" s="148"/>
      <c r="F239" s="148"/>
      <c r="G239" s="148"/>
      <c r="H239" s="148"/>
      <c r="AF239" s="4"/>
      <c r="AG239" s="4"/>
    </row>
    <row r="240" spans="5:33" ht="12.75">
      <c r="E240" s="148"/>
      <c r="F240" s="148"/>
      <c r="G240" s="148"/>
      <c r="H240" s="148"/>
      <c r="AF240" s="4"/>
      <c r="AG240" s="4"/>
    </row>
    <row r="241" spans="5:33" ht="12.75">
      <c r="E241" s="148"/>
      <c r="F241" s="148"/>
      <c r="G241" s="148"/>
      <c r="H241" s="148"/>
      <c r="AF241" s="4"/>
      <c r="AG241" s="4"/>
    </row>
    <row r="242" spans="5:33" ht="12.75">
      <c r="E242" s="148"/>
      <c r="F242" s="148"/>
      <c r="G242" s="148"/>
      <c r="H242" s="148"/>
      <c r="AF242" s="4"/>
      <c r="AG242" s="4"/>
    </row>
    <row r="243" spans="5:33" ht="12.75">
      <c r="E243" s="148"/>
      <c r="F243" s="148"/>
      <c r="G243" s="148"/>
      <c r="H243" s="148"/>
      <c r="AF243" s="4"/>
      <c r="AG243" s="4"/>
    </row>
    <row r="244" spans="5:33" ht="12.75">
      <c r="E244" s="148"/>
      <c r="F244" s="148"/>
      <c r="G244" s="148"/>
      <c r="H244" s="148"/>
      <c r="AF244" s="4"/>
      <c r="AG244" s="4"/>
    </row>
    <row r="245" spans="5:33" ht="12.75">
      <c r="E245" s="148"/>
      <c r="F245" s="148"/>
      <c r="G245" s="148"/>
      <c r="H245" s="148"/>
      <c r="AF245" s="4"/>
      <c r="AG245" s="4"/>
    </row>
    <row r="246" spans="5:33" ht="12.75">
      <c r="E246" s="148"/>
      <c r="F246" s="148"/>
      <c r="G246" s="148"/>
      <c r="H246" s="148"/>
      <c r="AF246" s="4"/>
      <c r="AG246" s="4"/>
    </row>
    <row r="247" spans="5:33" ht="12.75">
      <c r="E247" s="148"/>
      <c r="F247" s="148"/>
      <c r="G247" s="148"/>
      <c r="H247" s="148"/>
      <c r="AF247" s="4"/>
      <c r="AG247" s="4"/>
    </row>
    <row r="248" spans="5:33" ht="12.75">
      <c r="E248" s="148"/>
      <c r="F248" s="148"/>
      <c r="G248" s="148"/>
      <c r="H248" s="148"/>
      <c r="AF248" s="4"/>
      <c r="AG248" s="4"/>
    </row>
    <row r="249" spans="5:33" ht="12.75">
      <c r="E249" s="148"/>
      <c r="F249" s="148"/>
      <c r="G249" s="148"/>
      <c r="H249" s="148"/>
      <c r="AF249" s="4"/>
      <c r="AG249" s="4"/>
    </row>
    <row r="250" spans="5:33" ht="12.75">
      <c r="E250" s="148"/>
      <c r="F250" s="148"/>
      <c r="G250" s="148"/>
      <c r="H250" s="148"/>
      <c r="AF250" s="4"/>
      <c r="AG250" s="4"/>
    </row>
    <row r="251" spans="5:33" ht="12.75">
      <c r="E251" s="148"/>
      <c r="F251" s="148"/>
      <c r="G251" s="148"/>
      <c r="H251" s="148"/>
      <c r="AF251" s="4"/>
      <c r="AG251" s="4"/>
    </row>
    <row r="252" spans="5:33" ht="12.75">
      <c r="E252" s="148"/>
      <c r="F252" s="148"/>
      <c r="G252" s="148"/>
      <c r="H252" s="148"/>
      <c r="AF252" s="4"/>
      <c r="AG252" s="4"/>
    </row>
    <row r="253" spans="5:33" ht="12.75">
      <c r="E253" s="148"/>
      <c r="F253" s="148"/>
      <c r="G253" s="148"/>
      <c r="H253" s="148"/>
      <c r="AF253" s="4"/>
      <c r="AG253" s="4"/>
    </row>
    <row r="254" spans="5:33" ht="12.75">
      <c r="E254" s="148"/>
      <c r="F254" s="148"/>
      <c r="G254" s="148"/>
      <c r="H254" s="148"/>
      <c r="AF254" s="4"/>
      <c r="AG254" s="4"/>
    </row>
    <row r="255" spans="5:33" ht="12.75">
      <c r="E255" s="148"/>
      <c r="F255" s="148"/>
      <c r="G255" s="148"/>
      <c r="H255" s="148"/>
      <c r="AF255" s="4"/>
      <c r="AG255" s="4"/>
    </row>
    <row r="256" spans="5:33" ht="12.75">
      <c r="E256" s="148"/>
      <c r="F256" s="148"/>
      <c r="G256" s="148"/>
      <c r="H256" s="148"/>
      <c r="AF256" s="4"/>
      <c r="AG256" s="4"/>
    </row>
    <row r="257" spans="5:33" ht="12.75">
      <c r="E257" s="148"/>
      <c r="F257" s="148"/>
      <c r="G257" s="148"/>
      <c r="H257" s="148"/>
      <c r="AF257" s="4"/>
      <c r="AG257" s="4"/>
    </row>
    <row r="258" spans="5:33" ht="12.75">
      <c r="E258" s="148"/>
      <c r="F258" s="148"/>
      <c r="G258" s="148"/>
      <c r="H258" s="148"/>
      <c r="AF258" s="4"/>
      <c r="AG258" s="4"/>
    </row>
    <row r="259" spans="5:33" ht="12.75">
      <c r="E259" s="148"/>
      <c r="F259" s="148"/>
      <c r="G259" s="148"/>
      <c r="H259" s="148"/>
      <c r="AF259" s="4"/>
      <c r="AG259" s="4"/>
    </row>
    <row r="260" spans="5:33" ht="12.75">
      <c r="E260" s="148"/>
      <c r="F260" s="148"/>
      <c r="G260" s="148"/>
      <c r="H260" s="148"/>
      <c r="AF260" s="4"/>
      <c r="AG260" s="4"/>
    </row>
    <row r="261" spans="5:33" ht="12.75">
      <c r="E261" s="148"/>
      <c r="F261" s="148"/>
      <c r="G261" s="148"/>
      <c r="H261" s="148"/>
      <c r="AF261" s="4"/>
      <c r="AG261" s="4"/>
    </row>
    <row r="262" spans="5:33" ht="12.75">
      <c r="E262" s="148"/>
      <c r="F262" s="148"/>
      <c r="G262" s="148"/>
      <c r="H262" s="148"/>
      <c r="AF262" s="4"/>
      <c r="AG262" s="4"/>
    </row>
    <row r="263" spans="5:33" ht="12.75">
      <c r="E263" s="148"/>
      <c r="F263" s="148"/>
      <c r="G263" s="148"/>
      <c r="H263" s="148"/>
      <c r="AF263" s="4"/>
      <c r="AG263" s="4"/>
    </row>
    <row r="264" spans="5:33" ht="12.75">
      <c r="E264" s="148"/>
      <c r="F264" s="148"/>
      <c r="G264" s="148"/>
      <c r="H264" s="148"/>
      <c r="AF264" s="4"/>
      <c r="AG264" s="4"/>
    </row>
    <row r="265" spans="5:33" ht="12.75">
      <c r="E265" s="148"/>
      <c r="F265" s="148"/>
      <c r="G265" s="148"/>
      <c r="H265" s="148"/>
      <c r="AF265" s="4"/>
      <c r="AG265" s="4"/>
    </row>
    <row r="266" spans="5:33" ht="12.75">
      <c r="E266" s="148"/>
      <c r="F266" s="148"/>
      <c r="G266" s="148"/>
      <c r="H266" s="148"/>
      <c r="AF266" s="4"/>
      <c r="AG266" s="4"/>
    </row>
    <row r="267" spans="5:33" ht="12.75">
      <c r="E267" s="148"/>
      <c r="F267" s="148"/>
      <c r="G267" s="148"/>
      <c r="H267" s="148"/>
      <c r="AF267" s="4"/>
      <c r="AG267" s="4"/>
    </row>
    <row r="268" spans="5:33" ht="12.75">
      <c r="E268" s="148"/>
      <c r="F268" s="148"/>
      <c r="G268" s="148"/>
      <c r="H268" s="148"/>
      <c r="AF268" s="4"/>
      <c r="AG268" s="4"/>
    </row>
    <row r="269" spans="5:33" ht="12.75">
      <c r="E269" s="148"/>
      <c r="F269" s="148"/>
      <c r="G269" s="148"/>
      <c r="H269" s="148"/>
      <c r="AF269" s="4"/>
      <c r="AG269" s="4"/>
    </row>
    <row r="270" spans="5:33" ht="12.75">
      <c r="E270" s="148"/>
      <c r="F270" s="148"/>
      <c r="G270" s="148"/>
      <c r="H270" s="148"/>
      <c r="AF270" s="4"/>
      <c r="AG270" s="4"/>
    </row>
    <row r="271" spans="5:33" ht="12.75">
      <c r="E271" s="148"/>
      <c r="F271" s="148"/>
      <c r="G271" s="148"/>
      <c r="H271" s="148"/>
      <c r="AF271" s="4"/>
      <c r="AG271" s="4"/>
    </row>
    <row r="272" spans="5:33" ht="12.75">
      <c r="E272" s="148"/>
      <c r="F272" s="148"/>
      <c r="G272" s="148"/>
      <c r="H272" s="148"/>
      <c r="AF272" s="4"/>
      <c r="AG272" s="4"/>
    </row>
    <row r="273" spans="5:33" ht="12.75">
      <c r="E273" s="148"/>
      <c r="F273" s="148"/>
      <c r="G273" s="148"/>
      <c r="H273" s="148"/>
      <c r="AF273" s="4"/>
      <c r="AG273" s="4"/>
    </row>
    <row r="274" spans="5:33" ht="12.75">
      <c r="E274" s="148"/>
      <c r="F274" s="148"/>
      <c r="G274" s="148"/>
      <c r="H274" s="148"/>
      <c r="AF274" s="4"/>
      <c r="AG274" s="4"/>
    </row>
    <row r="275" spans="5:33" ht="12.75">
      <c r="E275" s="148"/>
      <c r="F275" s="148"/>
      <c r="G275" s="148"/>
      <c r="H275" s="148"/>
      <c r="AF275" s="4"/>
      <c r="AG275" s="4"/>
    </row>
    <row r="276" spans="5:33" ht="12.75">
      <c r="E276" s="148"/>
      <c r="F276" s="148"/>
      <c r="G276" s="148"/>
      <c r="H276" s="148"/>
      <c r="AF276" s="4"/>
      <c r="AG276" s="4"/>
    </row>
    <row r="277" spans="5:33" ht="12.75">
      <c r="E277" s="148"/>
      <c r="F277" s="148"/>
      <c r="G277" s="148"/>
      <c r="H277" s="148"/>
      <c r="AF277" s="4"/>
      <c r="AG277" s="4"/>
    </row>
    <row r="278" spans="5:33" ht="12.75">
      <c r="E278" s="148"/>
      <c r="F278" s="148"/>
      <c r="G278" s="148"/>
      <c r="H278" s="148"/>
      <c r="AF278" s="4"/>
      <c r="AG278" s="4"/>
    </row>
    <row r="279" spans="5:33" ht="12.75">
      <c r="E279" s="148"/>
      <c r="F279" s="148"/>
      <c r="G279" s="148"/>
      <c r="H279" s="148"/>
      <c r="AF279" s="4"/>
      <c r="AG279" s="4"/>
    </row>
    <row r="280" spans="5:33" ht="12.75">
      <c r="E280" s="148"/>
      <c r="F280" s="148"/>
      <c r="G280" s="148"/>
      <c r="H280" s="148"/>
      <c r="AF280" s="4"/>
      <c r="AG280" s="4"/>
    </row>
    <row r="281" spans="5:33" ht="12.75">
      <c r="E281" s="148"/>
      <c r="F281" s="148"/>
      <c r="G281" s="148"/>
      <c r="H281" s="148"/>
      <c r="AF281" s="4"/>
      <c r="AG281" s="4"/>
    </row>
    <row r="282" spans="5:33" ht="12.75">
      <c r="E282" s="148"/>
      <c r="F282" s="148"/>
      <c r="G282" s="148"/>
      <c r="H282" s="148"/>
      <c r="AF282" s="4"/>
      <c r="AG282" s="4"/>
    </row>
    <row r="283" spans="5:33" ht="12.75">
      <c r="E283" s="148"/>
      <c r="F283" s="148"/>
      <c r="G283" s="148"/>
      <c r="H283" s="148"/>
      <c r="AF283" s="4"/>
      <c r="AG283" s="4"/>
    </row>
    <row r="284" spans="5:33" ht="12.75">
      <c r="E284" s="148"/>
      <c r="F284" s="148"/>
      <c r="G284" s="148"/>
      <c r="H284" s="148"/>
      <c r="AF284" s="4"/>
      <c r="AG284" s="4"/>
    </row>
    <row r="285" spans="5:33" ht="12.75">
      <c r="E285" s="148"/>
      <c r="F285" s="148"/>
      <c r="G285" s="148"/>
      <c r="H285" s="148"/>
      <c r="AF285" s="4"/>
      <c r="AG285" s="4"/>
    </row>
    <row r="286" spans="5:33" ht="12.75">
      <c r="E286" s="148"/>
      <c r="F286" s="148"/>
      <c r="G286" s="148"/>
      <c r="H286" s="148"/>
      <c r="AF286" s="4"/>
      <c r="AG286" s="4"/>
    </row>
    <row r="287" spans="5:33" ht="12.75">
      <c r="E287" s="148"/>
      <c r="F287" s="148"/>
      <c r="G287" s="148"/>
      <c r="H287" s="148"/>
      <c r="AF287" s="4"/>
      <c r="AG287" s="4"/>
    </row>
    <row r="288" spans="5:33" ht="12.75">
      <c r="E288" s="148"/>
      <c r="F288" s="148"/>
      <c r="G288" s="148"/>
      <c r="H288" s="148"/>
      <c r="AF288" s="4"/>
      <c r="AG288" s="4"/>
    </row>
    <row r="289" spans="5:33" ht="12.75">
      <c r="E289" s="148"/>
      <c r="F289" s="148"/>
      <c r="G289" s="148"/>
      <c r="H289" s="148"/>
      <c r="AF289" s="4"/>
      <c r="AG289" s="4"/>
    </row>
    <row r="290" spans="5:33" ht="12.75">
      <c r="E290" s="148"/>
      <c r="F290" s="148"/>
      <c r="G290" s="148"/>
      <c r="H290" s="148"/>
      <c r="AF290" s="4"/>
      <c r="AG290" s="4"/>
    </row>
    <row r="291" spans="5:33" ht="12.75">
      <c r="E291" s="148"/>
      <c r="F291" s="148"/>
      <c r="G291" s="148"/>
      <c r="H291" s="148"/>
      <c r="AF291" s="4"/>
      <c r="AG291" s="4"/>
    </row>
    <row r="292" spans="5:33" ht="12.75">
      <c r="E292" s="148"/>
      <c r="F292" s="148"/>
      <c r="G292" s="148"/>
      <c r="H292" s="148"/>
      <c r="AF292" s="4"/>
      <c r="AG292" s="4"/>
    </row>
    <row r="293" spans="5:33" ht="12.75">
      <c r="E293" s="148"/>
      <c r="F293" s="148"/>
      <c r="G293" s="148"/>
      <c r="H293" s="148"/>
      <c r="AF293" s="4"/>
      <c r="AG293" s="4"/>
    </row>
    <row r="294" spans="5:33" ht="12.75">
      <c r="E294" s="148"/>
      <c r="F294" s="148"/>
      <c r="G294" s="148"/>
      <c r="H294" s="148"/>
      <c r="AF294" s="4"/>
      <c r="AG294" s="4"/>
    </row>
    <row r="295" spans="5:33" ht="12.75">
      <c r="E295" s="148"/>
      <c r="F295" s="148"/>
      <c r="G295" s="148"/>
      <c r="H295" s="148"/>
      <c r="AF295" s="4"/>
      <c r="AG295" s="4"/>
    </row>
    <row r="296" spans="5:33" ht="12.75">
      <c r="E296" s="148"/>
      <c r="F296" s="148"/>
      <c r="G296" s="148"/>
      <c r="H296" s="148"/>
      <c r="AF296" s="4"/>
      <c r="AG296" s="4"/>
    </row>
    <row r="297" spans="5:33" ht="12.75">
      <c r="E297" s="148"/>
      <c r="F297" s="148"/>
      <c r="G297" s="148"/>
      <c r="H297" s="148"/>
      <c r="AF297" s="4"/>
      <c r="AG297" s="4"/>
    </row>
    <row r="298" spans="5:33" ht="12.75">
      <c r="E298" s="148"/>
      <c r="F298" s="148"/>
      <c r="G298" s="148"/>
      <c r="H298" s="148"/>
      <c r="AF298" s="4"/>
      <c r="AG298" s="4"/>
    </row>
    <row r="299" spans="5:33" ht="12.75">
      <c r="E299" s="148"/>
      <c r="F299" s="148"/>
      <c r="G299" s="148"/>
      <c r="H299" s="148"/>
      <c r="AF299" s="4"/>
      <c r="AG299" s="4"/>
    </row>
    <row r="300" spans="5:33" ht="12.75">
      <c r="E300" s="148"/>
      <c r="F300" s="148"/>
      <c r="G300" s="148"/>
      <c r="H300" s="148"/>
      <c r="AF300" s="4"/>
      <c r="AG300" s="4"/>
    </row>
    <row r="301" spans="5:33" ht="12.75">
      <c r="E301" s="148"/>
      <c r="F301" s="148"/>
      <c r="G301" s="148"/>
      <c r="H301" s="148"/>
      <c r="AF301" s="4"/>
      <c r="AG301" s="4"/>
    </row>
    <row r="302" spans="5:33" ht="12.75">
      <c r="E302" s="148"/>
      <c r="F302" s="148"/>
      <c r="G302" s="148"/>
      <c r="H302" s="148"/>
      <c r="AF302" s="4"/>
      <c r="AG302" s="4"/>
    </row>
    <row r="303" spans="5:33" ht="12.75">
      <c r="E303" s="148"/>
      <c r="F303" s="148"/>
      <c r="G303" s="148"/>
      <c r="H303" s="148"/>
      <c r="AF303" s="4"/>
      <c r="AG303" s="4"/>
    </row>
    <row r="304" spans="5:33" ht="12.75">
      <c r="E304" s="148"/>
      <c r="F304" s="148"/>
      <c r="G304" s="148"/>
      <c r="H304" s="148"/>
      <c r="AF304" s="4"/>
      <c r="AG304" s="4"/>
    </row>
    <row r="305" spans="5:33" ht="12.75">
      <c r="E305" s="148"/>
      <c r="F305" s="148"/>
      <c r="G305" s="148"/>
      <c r="H305" s="148"/>
      <c r="AF305" s="4"/>
      <c r="AG305" s="4"/>
    </row>
    <row r="306" spans="5:33" ht="12.75">
      <c r="E306" s="148"/>
      <c r="F306" s="148"/>
      <c r="G306" s="148"/>
      <c r="H306" s="148"/>
      <c r="AF306" s="4"/>
      <c r="AG306" s="4"/>
    </row>
    <row r="307" spans="5:33" ht="12.75">
      <c r="E307" s="148"/>
      <c r="F307" s="148"/>
      <c r="G307" s="148"/>
      <c r="H307" s="148"/>
      <c r="AF307" s="4"/>
      <c r="AG307" s="4"/>
    </row>
    <row r="308" spans="5:33" ht="12.75">
      <c r="E308" s="148"/>
      <c r="F308" s="148"/>
      <c r="G308" s="148"/>
      <c r="H308" s="148"/>
      <c r="AF308" s="4"/>
      <c r="AG308" s="4"/>
    </row>
    <row r="309" spans="5:33" ht="12.75">
      <c r="E309" s="148"/>
      <c r="F309" s="148"/>
      <c r="G309" s="148"/>
      <c r="H309" s="148"/>
      <c r="AF309" s="4"/>
      <c r="AG309" s="4"/>
    </row>
    <row r="310" spans="5:33" ht="12.75">
      <c r="E310" s="148"/>
      <c r="F310" s="148"/>
      <c r="G310" s="148"/>
      <c r="H310" s="148"/>
      <c r="AF310" s="4"/>
      <c r="AG310" s="4"/>
    </row>
    <row r="311" spans="5:33" ht="12.75">
      <c r="E311" s="148"/>
      <c r="F311" s="148"/>
      <c r="G311" s="148"/>
      <c r="H311" s="148"/>
      <c r="AF311" s="4"/>
      <c r="AG311" s="4"/>
    </row>
    <row r="312" spans="5:33" ht="12.75">
      <c r="E312" s="148"/>
      <c r="F312" s="148"/>
      <c r="G312" s="148"/>
      <c r="H312" s="148"/>
      <c r="AF312" s="4"/>
      <c r="AG312" s="4"/>
    </row>
    <row r="313" spans="5:33" ht="12.75">
      <c r="E313" s="148"/>
      <c r="F313" s="148"/>
      <c r="G313" s="148"/>
      <c r="H313" s="148"/>
      <c r="AF313" s="4"/>
      <c r="AG313" s="4"/>
    </row>
    <row r="314" spans="5:33" ht="12.75">
      <c r="E314" s="148"/>
      <c r="F314" s="148"/>
      <c r="G314" s="148"/>
      <c r="H314" s="148"/>
      <c r="AF314" s="4"/>
      <c r="AG314" s="4"/>
    </row>
    <row r="315" spans="5:33" ht="12.75">
      <c r="E315" s="148"/>
      <c r="F315" s="148"/>
      <c r="G315" s="148"/>
      <c r="H315" s="148"/>
      <c r="AF315" s="4"/>
      <c r="AG315" s="4"/>
    </row>
    <row r="316" spans="5:33" ht="12.75">
      <c r="E316" s="148"/>
      <c r="F316" s="148"/>
      <c r="G316" s="148"/>
      <c r="H316" s="148"/>
      <c r="AF316" s="4"/>
      <c r="AG316" s="4"/>
    </row>
    <row r="317" spans="5:33" ht="12.75">
      <c r="E317" s="148"/>
      <c r="F317" s="148"/>
      <c r="G317" s="148"/>
      <c r="H317" s="148"/>
      <c r="AF317" s="4"/>
      <c r="AG317" s="4"/>
    </row>
    <row r="318" spans="5:33" ht="12.75">
      <c r="E318" s="148"/>
      <c r="F318" s="148"/>
      <c r="G318" s="148"/>
      <c r="H318" s="148"/>
      <c r="AF318" s="4"/>
      <c r="AG318" s="4"/>
    </row>
    <row r="319" spans="5:33" ht="12.75">
      <c r="E319" s="148"/>
      <c r="F319" s="148"/>
      <c r="G319" s="148"/>
      <c r="H319" s="148"/>
      <c r="AF319" s="4"/>
      <c r="AG319" s="4"/>
    </row>
    <row r="320" spans="5:33" ht="12.75">
      <c r="E320" s="148"/>
      <c r="F320" s="148"/>
      <c r="G320" s="148"/>
      <c r="H320" s="148"/>
      <c r="AF320" s="4"/>
      <c r="AG320" s="4"/>
    </row>
    <row r="321" spans="5:33" ht="12.75">
      <c r="E321" s="148"/>
      <c r="F321" s="148"/>
      <c r="G321" s="148"/>
      <c r="H321" s="148"/>
      <c r="AF321" s="4"/>
      <c r="AG321" s="4"/>
    </row>
    <row r="322" spans="5:33" ht="12.75">
      <c r="E322" s="148"/>
      <c r="F322" s="148"/>
      <c r="G322" s="148"/>
      <c r="H322" s="148"/>
      <c r="AF322" s="4"/>
      <c r="AG322" s="4"/>
    </row>
    <row r="323" spans="5:33" ht="12.75">
      <c r="E323" s="148"/>
      <c r="F323" s="148"/>
      <c r="G323" s="148"/>
      <c r="H323" s="148"/>
      <c r="AF323" s="4"/>
      <c r="AG323" s="4"/>
    </row>
    <row r="324" spans="5:33" ht="12.75">
      <c r="E324" s="148"/>
      <c r="F324" s="148"/>
      <c r="G324" s="148"/>
      <c r="H324" s="148"/>
      <c r="AF324" s="4"/>
      <c r="AG324" s="4"/>
    </row>
    <row r="325" spans="5:33" ht="12.75">
      <c r="E325" s="148"/>
      <c r="F325" s="148"/>
      <c r="G325" s="148"/>
      <c r="H325" s="148"/>
      <c r="AF325" s="4"/>
      <c r="AG325" s="4"/>
    </row>
    <row r="326" spans="5:33" ht="12.75">
      <c r="E326" s="148"/>
      <c r="F326" s="148"/>
      <c r="G326" s="148"/>
      <c r="H326" s="148"/>
      <c r="AF326" s="4"/>
      <c r="AG326" s="4"/>
    </row>
    <row r="327" spans="5:33" ht="12.75">
      <c r="E327" s="148"/>
      <c r="F327" s="148"/>
      <c r="G327" s="148"/>
      <c r="H327" s="148"/>
      <c r="AF327" s="4"/>
      <c r="AG327" s="4"/>
    </row>
    <row r="328" spans="5:33" ht="12.75">
      <c r="E328" s="148"/>
      <c r="F328" s="148"/>
      <c r="G328" s="148"/>
      <c r="H328" s="148"/>
      <c r="AF328" s="4"/>
      <c r="AG328" s="4"/>
    </row>
    <row r="329" spans="5:33" ht="12.75">
      <c r="E329" s="148"/>
      <c r="F329" s="148"/>
      <c r="G329" s="148"/>
      <c r="H329" s="148"/>
      <c r="AF329" s="4"/>
      <c r="AG329" s="4"/>
    </row>
    <row r="330" spans="5:33" ht="12.75">
      <c r="E330" s="148"/>
      <c r="F330" s="148"/>
      <c r="G330" s="148"/>
      <c r="H330" s="148"/>
      <c r="AF330" s="4"/>
      <c r="AG330" s="4"/>
    </row>
    <row r="331" spans="5:33" ht="12.75">
      <c r="E331" s="148"/>
      <c r="F331" s="148"/>
      <c r="G331" s="148"/>
      <c r="H331" s="148"/>
      <c r="AF331" s="4"/>
      <c r="AG331" s="4"/>
    </row>
    <row r="332" spans="5:33" ht="12.75">
      <c r="E332" s="148"/>
      <c r="F332" s="148"/>
      <c r="G332" s="148"/>
      <c r="H332" s="148"/>
      <c r="AF332" s="4"/>
      <c r="AG332" s="4"/>
    </row>
    <row r="333" spans="5:33" ht="12.75">
      <c r="E333" s="148"/>
      <c r="F333" s="148"/>
      <c r="G333" s="148"/>
      <c r="H333" s="148"/>
      <c r="AF333" s="4"/>
      <c r="AG333" s="4"/>
    </row>
    <row r="334" spans="5:33" ht="12.75">
      <c r="E334" s="148"/>
      <c r="F334" s="148"/>
      <c r="G334" s="148"/>
      <c r="H334" s="148"/>
      <c r="AF334" s="4"/>
      <c r="AG334" s="4"/>
    </row>
    <row r="335" spans="5:33" ht="12.75">
      <c r="E335" s="148"/>
      <c r="F335" s="148"/>
      <c r="G335" s="148"/>
      <c r="H335" s="148"/>
      <c r="AF335" s="4"/>
      <c r="AG335" s="4"/>
    </row>
    <row r="336" spans="5:33" ht="12.75">
      <c r="E336" s="148"/>
      <c r="F336" s="148"/>
      <c r="G336" s="148"/>
      <c r="H336" s="148"/>
      <c r="AF336" s="4"/>
      <c r="AG336" s="4"/>
    </row>
    <row r="337" spans="5:33" ht="12.75">
      <c r="E337" s="148"/>
      <c r="F337" s="148"/>
      <c r="G337" s="148"/>
      <c r="H337" s="148"/>
      <c r="AF337" s="4"/>
      <c r="AG337" s="4"/>
    </row>
    <row r="338" spans="5:33" ht="12.75">
      <c r="E338" s="148"/>
      <c r="F338" s="148"/>
      <c r="G338" s="148"/>
      <c r="H338" s="148"/>
      <c r="AF338" s="4"/>
      <c r="AG338" s="4"/>
    </row>
    <row r="339" spans="5:33" ht="12.75">
      <c r="E339" s="148"/>
      <c r="F339" s="148"/>
      <c r="G339" s="148"/>
      <c r="H339" s="148"/>
      <c r="AF339" s="4"/>
      <c r="AG339" s="4"/>
    </row>
    <row r="340" spans="5:33" ht="12.75">
      <c r="E340" s="148"/>
      <c r="F340" s="148"/>
      <c r="G340" s="148"/>
      <c r="H340" s="148"/>
      <c r="AF340" s="4"/>
      <c r="AG340" s="4"/>
    </row>
    <row r="341" spans="5:33" ht="12.75">
      <c r="E341" s="148"/>
      <c r="F341" s="148"/>
      <c r="G341" s="148"/>
      <c r="H341" s="148"/>
      <c r="AF341" s="4"/>
      <c r="AG341" s="4"/>
    </row>
    <row r="342" spans="5:33" ht="12.75">
      <c r="E342" s="148"/>
      <c r="F342" s="148"/>
      <c r="G342" s="148"/>
      <c r="H342" s="148"/>
      <c r="AF342" s="4"/>
      <c r="AG342" s="4"/>
    </row>
    <row r="343" spans="5:33" ht="12.75">
      <c r="E343" s="148"/>
      <c r="F343" s="148"/>
      <c r="G343" s="148"/>
      <c r="H343" s="148"/>
      <c r="AF343" s="4"/>
      <c r="AG343" s="4"/>
    </row>
    <row r="344" spans="5:33" ht="12.75">
      <c r="E344" s="148"/>
      <c r="F344" s="148"/>
      <c r="G344" s="148"/>
      <c r="H344" s="148"/>
      <c r="AF344" s="4"/>
      <c r="AG344" s="4"/>
    </row>
    <row r="345" spans="5:33" ht="12.75">
      <c r="E345" s="148"/>
      <c r="F345" s="148"/>
      <c r="G345" s="148"/>
      <c r="H345" s="148"/>
      <c r="AF345" s="4"/>
      <c r="AG345" s="4"/>
    </row>
    <row r="346" spans="5:33" ht="12.75">
      <c r="E346" s="148"/>
      <c r="F346" s="148"/>
      <c r="G346" s="148"/>
      <c r="H346" s="148"/>
      <c r="AF346" s="4"/>
      <c r="AG346" s="4"/>
    </row>
    <row r="347" spans="5:33" ht="12.75">
      <c r="E347" s="148"/>
      <c r="F347" s="148"/>
      <c r="G347" s="148"/>
      <c r="H347" s="148"/>
      <c r="AF347" s="4"/>
      <c r="AG347" s="4"/>
    </row>
    <row r="348" spans="5:33" ht="12.75">
      <c r="E348" s="148"/>
      <c r="F348" s="148"/>
      <c r="G348" s="148"/>
      <c r="H348" s="148"/>
      <c r="AF348" s="4"/>
      <c r="AG348" s="4"/>
    </row>
    <row r="349" spans="5:33" ht="12.75">
      <c r="E349" s="148"/>
      <c r="F349" s="148"/>
      <c r="G349" s="148"/>
      <c r="H349" s="148"/>
      <c r="AF349" s="4"/>
      <c r="AG349" s="4"/>
    </row>
    <row r="350" spans="5:33" ht="12.75">
      <c r="E350" s="148"/>
      <c r="F350" s="148"/>
      <c r="G350" s="148"/>
      <c r="H350" s="148"/>
      <c r="AF350" s="4"/>
      <c r="AG350" s="4"/>
    </row>
    <row r="351" spans="5:33" ht="12.75">
      <c r="E351" s="148"/>
      <c r="F351" s="148"/>
      <c r="G351" s="148"/>
      <c r="H351" s="148"/>
      <c r="AF351" s="4"/>
      <c r="AG351" s="4"/>
    </row>
    <row r="352" spans="5:33" ht="12.75">
      <c r="E352" s="148"/>
      <c r="F352" s="148"/>
      <c r="G352" s="148"/>
      <c r="H352" s="148"/>
      <c r="AF352" s="4"/>
      <c r="AG352" s="4"/>
    </row>
    <row r="353" spans="5:33" ht="12.75">
      <c r="E353" s="148"/>
      <c r="F353" s="148"/>
      <c r="G353" s="148"/>
      <c r="H353" s="148"/>
      <c r="AF353" s="4"/>
      <c r="AG353" s="4"/>
    </row>
    <row r="354" spans="5:33" ht="12.75">
      <c r="E354" s="148"/>
      <c r="F354" s="148"/>
      <c r="G354" s="148"/>
      <c r="H354" s="148"/>
      <c r="AF354" s="4"/>
      <c r="AG354" s="4"/>
    </row>
    <row r="355" spans="5:33" ht="12.75">
      <c r="E355" s="148"/>
      <c r="F355" s="148"/>
      <c r="G355" s="148"/>
      <c r="H355" s="148"/>
      <c r="AF355" s="4"/>
      <c r="AG355" s="4"/>
    </row>
    <row r="356" spans="5:33" ht="12.75">
      <c r="E356" s="148"/>
      <c r="F356" s="148"/>
      <c r="G356" s="148"/>
      <c r="H356" s="148"/>
      <c r="AF356" s="4"/>
      <c r="AG356" s="4"/>
    </row>
    <row r="357" spans="5:33" ht="12.75">
      <c r="E357" s="148"/>
      <c r="F357" s="148"/>
      <c r="G357" s="148"/>
      <c r="H357" s="148"/>
      <c r="AF357" s="4"/>
      <c r="AG357" s="4"/>
    </row>
    <row r="358" spans="5:33" ht="12.75">
      <c r="E358" s="148"/>
      <c r="F358" s="148"/>
      <c r="G358" s="148"/>
      <c r="H358" s="148"/>
      <c r="AF358" s="4"/>
      <c r="AG358" s="4"/>
    </row>
    <row r="359" spans="5:33" ht="12.75">
      <c r="E359" s="148"/>
      <c r="F359" s="148"/>
      <c r="G359" s="148"/>
      <c r="H359" s="148"/>
      <c r="AF359" s="4"/>
      <c r="AG359" s="4"/>
    </row>
    <row r="360" spans="5:33" ht="12.75">
      <c r="E360" s="148"/>
      <c r="F360" s="148"/>
      <c r="G360" s="148"/>
      <c r="H360" s="148"/>
      <c r="AF360" s="4"/>
      <c r="AG360" s="4"/>
    </row>
    <row r="361" spans="5:33" ht="12.75">
      <c r="E361" s="148"/>
      <c r="F361" s="148"/>
      <c r="G361" s="148"/>
      <c r="H361" s="148"/>
      <c r="AF361" s="4"/>
      <c r="AG361" s="4"/>
    </row>
    <row r="362" spans="5:33" ht="12.75">
      <c r="E362" s="148"/>
      <c r="F362" s="148"/>
      <c r="G362" s="148"/>
      <c r="H362" s="148"/>
      <c r="AF362" s="4"/>
      <c r="AG362" s="4"/>
    </row>
    <row r="363" spans="5:33" ht="12.75">
      <c r="E363" s="148"/>
      <c r="F363" s="148"/>
      <c r="G363" s="148"/>
      <c r="H363" s="148"/>
      <c r="AF363" s="4"/>
      <c r="AG363" s="4"/>
    </row>
    <row r="364" spans="5:33" ht="12.75">
      <c r="E364" s="148"/>
      <c r="F364" s="148"/>
      <c r="G364" s="148"/>
      <c r="H364" s="148"/>
      <c r="AF364" s="4"/>
      <c r="AG364" s="4"/>
    </row>
    <row r="365" spans="5:33" ht="12.75">
      <c r="E365" s="148"/>
      <c r="F365" s="148"/>
      <c r="G365" s="148"/>
      <c r="H365" s="148"/>
      <c r="AF365" s="4"/>
      <c r="AG365" s="4"/>
    </row>
    <row r="366" spans="5:33" ht="12.75">
      <c r="E366" s="148"/>
      <c r="F366" s="148"/>
      <c r="G366" s="148"/>
      <c r="H366" s="148"/>
      <c r="AF366" s="4"/>
      <c r="AG366" s="4"/>
    </row>
    <row r="367" spans="5:33" ht="12.75">
      <c r="E367" s="148"/>
      <c r="F367" s="148"/>
      <c r="G367" s="148"/>
      <c r="H367" s="148"/>
      <c r="AF367" s="4"/>
      <c r="AG367" s="4"/>
    </row>
    <row r="368" spans="5:33" ht="12.75">
      <c r="E368" s="148"/>
      <c r="F368" s="148"/>
      <c r="G368" s="148"/>
      <c r="H368" s="148"/>
      <c r="AF368" s="4"/>
      <c r="AG368" s="4"/>
    </row>
    <row r="369" spans="5:33" ht="12.75">
      <c r="E369" s="148"/>
      <c r="F369" s="148"/>
      <c r="G369" s="148"/>
      <c r="H369" s="148"/>
      <c r="AF369" s="4"/>
      <c r="AG369" s="4"/>
    </row>
    <row r="370" spans="5:33" ht="12.75">
      <c r="E370" s="148"/>
      <c r="F370" s="148"/>
      <c r="G370" s="148"/>
      <c r="H370" s="148"/>
      <c r="AF370" s="4"/>
      <c r="AG370" s="4"/>
    </row>
    <row r="371" spans="5:33" ht="12.75">
      <c r="E371" s="148"/>
      <c r="F371" s="148"/>
      <c r="G371" s="148"/>
      <c r="H371" s="148"/>
      <c r="AF371" s="4"/>
      <c r="AG371" s="4"/>
    </row>
    <row r="372" spans="5:33" ht="12.75">
      <c r="E372" s="148"/>
      <c r="F372" s="148"/>
      <c r="G372" s="148"/>
      <c r="H372" s="148"/>
      <c r="AF372" s="4"/>
      <c r="AG372" s="4"/>
    </row>
    <row r="373" spans="5:33" ht="12.75">
      <c r="E373" s="148"/>
      <c r="F373" s="148"/>
      <c r="G373" s="148"/>
      <c r="H373" s="148"/>
      <c r="AF373" s="4"/>
      <c r="AG373" s="4"/>
    </row>
    <row r="374" spans="5:33" ht="12.75">
      <c r="E374" s="148"/>
      <c r="F374" s="148"/>
      <c r="G374" s="148"/>
      <c r="H374" s="148"/>
      <c r="AF374" s="4"/>
      <c r="AG374" s="4"/>
    </row>
    <row r="375" spans="5:33" ht="12.75">
      <c r="E375" s="148"/>
      <c r="F375" s="148"/>
      <c r="G375" s="148"/>
      <c r="H375" s="148"/>
      <c r="AF375" s="4"/>
      <c r="AG375" s="4"/>
    </row>
    <row r="376" spans="5:33" ht="12.75">
      <c r="E376" s="148"/>
      <c r="F376" s="148"/>
      <c r="G376" s="148"/>
      <c r="H376" s="148"/>
      <c r="AF376" s="4"/>
      <c r="AG376" s="4"/>
    </row>
    <row r="377" spans="5:33" ht="12.75">
      <c r="E377" s="148"/>
      <c r="F377" s="148"/>
      <c r="G377" s="148"/>
      <c r="H377" s="148"/>
      <c r="AF377" s="4"/>
      <c r="AG377" s="4"/>
    </row>
    <row r="378" spans="5:33" ht="12.75">
      <c r="E378" s="148"/>
      <c r="F378" s="148"/>
      <c r="G378" s="148"/>
      <c r="H378" s="148"/>
      <c r="AF378" s="4"/>
      <c r="AG378" s="4"/>
    </row>
    <row r="379" spans="5:33" ht="12.75">
      <c r="E379" s="148"/>
      <c r="F379" s="148"/>
      <c r="G379" s="148"/>
      <c r="H379" s="148"/>
      <c r="AF379" s="4"/>
      <c r="AG379" s="4"/>
    </row>
    <row r="380" spans="5:33" ht="12.75">
      <c r="E380" s="148"/>
      <c r="F380" s="148"/>
      <c r="G380" s="148"/>
      <c r="H380" s="148"/>
      <c r="AF380" s="4"/>
      <c r="AG380" s="4"/>
    </row>
    <row r="381" spans="5:33" ht="12.75">
      <c r="E381" s="148"/>
      <c r="F381" s="148"/>
      <c r="G381" s="148"/>
      <c r="H381" s="148"/>
      <c r="AF381" s="4"/>
      <c r="AG381" s="4"/>
    </row>
    <row r="382" spans="5:33" ht="12.75">
      <c r="E382" s="148"/>
      <c r="F382" s="148"/>
      <c r="G382" s="148"/>
      <c r="H382" s="148"/>
      <c r="AF382" s="4"/>
      <c r="AG382" s="4"/>
    </row>
    <row r="383" spans="5:33" ht="12.75">
      <c r="E383" s="148"/>
      <c r="F383" s="148"/>
      <c r="G383" s="148"/>
      <c r="H383" s="148"/>
      <c r="AF383" s="4"/>
      <c r="AG383" s="4"/>
    </row>
    <row r="384" spans="5:33" ht="12.75">
      <c r="E384" s="148"/>
      <c r="F384" s="148"/>
      <c r="G384" s="148"/>
      <c r="H384" s="148"/>
      <c r="AF384" s="4"/>
      <c r="AG384" s="4"/>
    </row>
    <row r="385" spans="5:33" ht="12.75">
      <c r="E385" s="148"/>
      <c r="F385" s="148"/>
      <c r="G385" s="148"/>
      <c r="H385" s="148"/>
      <c r="AF385" s="4"/>
      <c r="AG385" s="4"/>
    </row>
    <row r="386" spans="5:33" ht="12.75">
      <c r="E386" s="148"/>
      <c r="F386" s="148"/>
      <c r="G386" s="148"/>
      <c r="H386" s="148"/>
      <c r="AF386" s="4"/>
      <c r="AG386" s="4"/>
    </row>
    <row r="387" spans="5:33" ht="12.75">
      <c r="E387" s="148"/>
      <c r="F387" s="148"/>
      <c r="G387" s="148"/>
      <c r="H387" s="148"/>
      <c r="AF387" s="4"/>
      <c r="AG387" s="4"/>
    </row>
    <row r="388" spans="5:33" ht="12.75">
      <c r="E388" s="148"/>
      <c r="F388" s="148"/>
      <c r="G388" s="148"/>
      <c r="H388" s="148"/>
      <c r="AF388" s="4"/>
      <c r="AG388" s="4"/>
    </row>
    <row r="389" spans="5:33" ht="12.75">
      <c r="E389" s="148"/>
      <c r="F389" s="148"/>
      <c r="G389" s="148"/>
      <c r="H389" s="148"/>
      <c r="AF389" s="4"/>
      <c r="AG389" s="4"/>
    </row>
    <row r="390" spans="5:33" ht="12.75">
      <c r="E390" s="148"/>
      <c r="F390" s="148"/>
      <c r="G390" s="148"/>
      <c r="H390" s="148"/>
      <c r="AF390" s="4"/>
      <c r="AG390" s="4"/>
    </row>
    <row r="391" spans="5:33" ht="12.75">
      <c r="E391" s="148"/>
      <c r="F391" s="148"/>
      <c r="G391" s="148"/>
      <c r="H391" s="148"/>
      <c r="AF391" s="4"/>
      <c r="AG391" s="4"/>
    </row>
    <row r="392" spans="5:33" ht="12.75">
      <c r="E392" s="148"/>
      <c r="F392" s="148"/>
      <c r="G392" s="148"/>
      <c r="H392" s="148"/>
      <c r="AF392" s="4"/>
      <c r="AG392" s="4"/>
    </row>
    <row r="393" spans="5:33" ht="12.75">
      <c r="E393" s="148"/>
      <c r="F393" s="148"/>
      <c r="G393" s="148"/>
      <c r="H393" s="148"/>
      <c r="AF393" s="4"/>
      <c r="AG393" s="4"/>
    </row>
    <row r="394" spans="5:33" ht="12.75">
      <c r="E394" s="148"/>
      <c r="F394" s="148"/>
      <c r="G394" s="148"/>
      <c r="H394" s="148"/>
      <c r="AF394" s="4"/>
      <c r="AG394" s="4"/>
    </row>
    <row r="395" spans="5:33" ht="12.75">
      <c r="E395" s="148"/>
      <c r="F395" s="148"/>
      <c r="G395" s="148"/>
      <c r="H395" s="148"/>
      <c r="AF395" s="4"/>
      <c r="AG395" s="4"/>
    </row>
    <row r="396" spans="5:33" ht="12.75">
      <c r="E396" s="148"/>
      <c r="F396" s="148"/>
      <c r="G396" s="148"/>
      <c r="H396" s="148"/>
      <c r="AF396" s="4"/>
      <c r="AG396" s="4"/>
    </row>
    <row r="397" spans="5:33" ht="12.75">
      <c r="E397" s="148"/>
      <c r="F397" s="148"/>
      <c r="G397" s="148"/>
      <c r="H397" s="148"/>
      <c r="AF397" s="4"/>
      <c r="AG397" s="4"/>
    </row>
    <row r="398" spans="5:33" ht="12.75">
      <c r="E398" s="148"/>
      <c r="F398" s="148"/>
      <c r="G398" s="148"/>
      <c r="H398" s="148"/>
      <c r="AF398" s="4"/>
      <c r="AG398" s="4"/>
    </row>
    <row r="399" spans="5:33" ht="12.75">
      <c r="E399" s="148"/>
      <c r="F399" s="148"/>
      <c r="G399" s="148"/>
      <c r="H399" s="148"/>
      <c r="AF399" s="4"/>
      <c r="AG399" s="4"/>
    </row>
    <row r="400" spans="5:33" ht="12.75">
      <c r="E400" s="148"/>
      <c r="F400" s="148"/>
      <c r="G400" s="148"/>
      <c r="H400" s="148"/>
      <c r="AF400" s="4"/>
      <c r="AG400" s="4"/>
    </row>
    <row r="401" spans="5:33" ht="12.75">
      <c r="E401" s="148"/>
      <c r="F401" s="148"/>
      <c r="G401" s="148"/>
      <c r="H401" s="148"/>
      <c r="AF401" s="4"/>
      <c r="AG401" s="4"/>
    </row>
    <row r="402" spans="5:33" ht="12.75">
      <c r="E402" s="148"/>
      <c r="F402" s="148"/>
      <c r="G402" s="148"/>
      <c r="H402" s="148"/>
      <c r="AF402" s="4"/>
      <c r="AG402" s="4"/>
    </row>
    <row r="403" spans="5:33" ht="12.75">
      <c r="E403" s="148"/>
      <c r="F403" s="148"/>
      <c r="G403" s="148"/>
      <c r="H403" s="148"/>
      <c r="AF403" s="4"/>
      <c r="AG403" s="4"/>
    </row>
    <row r="404" spans="5:33" ht="12.75">
      <c r="E404" s="148"/>
      <c r="F404" s="148"/>
      <c r="G404" s="148"/>
      <c r="H404" s="148"/>
      <c r="AF404" s="4"/>
      <c r="AG404" s="4"/>
    </row>
    <row r="405" spans="5:33" ht="12.75">
      <c r="E405" s="148"/>
      <c r="F405" s="148"/>
      <c r="G405" s="148"/>
      <c r="H405" s="148"/>
      <c r="AF405" s="4"/>
      <c r="AG405" s="4"/>
    </row>
    <row r="406" spans="5:33" ht="12.75">
      <c r="E406" s="148"/>
      <c r="F406" s="148"/>
      <c r="G406" s="148"/>
      <c r="H406" s="148"/>
      <c r="AF406" s="4"/>
      <c r="AG406" s="4"/>
    </row>
    <row r="407" spans="5:33" ht="12.75">
      <c r="E407" s="148"/>
      <c r="F407" s="148"/>
      <c r="G407" s="148"/>
      <c r="H407" s="148"/>
      <c r="AF407" s="4"/>
      <c r="AG407" s="4"/>
    </row>
    <row r="408" spans="5:33" ht="12.75">
      <c r="E408" s="148"/>
      <c r="F408" s="148"/>
      <c r="G408" s="148"/>
      <c r="H408" s="148"/>
      <c r="AF408" s="4"/>
      <c r="AG408" s="4"/>
    </row>
    <row r="409" spans="5:33" ht="12.75">
      <c r="E409" s="148"/>
      <c r="F409" s="148"/>
      <c r="G409" s="148"/>
      <c r="H409" s="148"/>
      <c r="AF409" s="4"/>
      <c r="AG409" s="4"/>
    </row>
    <row r="410" spans="5:33" ht="12.75">
      <c r="E410" s="148"/>
      <c r="F410" s="148"/>
      <c r="G410" s="148"/>
      <c r="H410" s="148"/>
      <c r="AF410" s="4"/>
      <c r="AG410" s="4"/>
    </row>
    <row r="411" spans="5:33" ht="12.75">
      <c r="E411" s="148"/>
      <c r="F411" s="148"/>
      <c r="G411" s="148"/>
      <c r="H411" s="148"/>
      <c r="AF411" s="4"/>
      <c r="AG411" s="4"/>
    </row>
    <row r="412" spans="5:33" ht="12.75">
      <c r="E412" s="148"/>
      <c r="F412" s="148"/>
      <c r="G412" s="148"/>
      <c r="H412" s="148"/>
      <c r="AF412" s="4"/>
      <c r="AG412" s="4"/>
    </row>
    <row r="413" spans="5:33" ht="12.75">
      <c r="E413" s="148"/>
      <c r="F413" s="148"/>
      <c r="G413" s="148"/>
      <c r="H413" s="148"/>
      <c r="AF413" s="4"/>
      <c r="AG413" s="4"/>
    </row>
    <row r="414" spans="5:33" ht="12.75">
      <c r="E414" s="148"/>
      <c r="F414" s="148"/>
      <c r="G414" s="148"/>
      <c r="H414" s="148"/>
      <c r="AF414" s="4"/>
      <c r="AG414" s="4"/>
    </row>
    <row r="415" spans="5:33" ht="12.75">
      <c r="E415" s="148"/>
      <c r="F415" s="148"/>
      <c r="G415" s="148"/>
      <c r="H415" s="148"/>
      <c r="AF415" s="4"/>
      <c r="AG415" s="4"/>
    </row>
    <row r="416" spans="5:33" ht="12.75">
      <c r="E416" s="148"/>
      <c r="F416" s="148"/>
      <c r="G416" s="148"/>
      <c r="H416" s="148"/>
      <c r="AF416" s="4"/>
      <c r="AG416" s="4"/>
    </row>
    <row r="417" spans="5:33" ht="12.75">
      <c r="E417" s="148"/>
      <c r="F417" s="148"/>
      <c r="G417" s="148"/>
      <c r="H417" s="148"/>
      <c r="AF417" s="4"/>
      <c r="AG417" s="4"/>
    </row>
    <row r="418" spans="5:33" ht="12.75">
      <c r="E418" s="148"/>
      <c r="F418" s="148"/>
      <c r="G418" s="148"/>
      <c r="H418" s="148"/>
      <c r="AF418" s="4"/>
      <c r="AG418" s="4"/>
    </row>
    <row r="419" spans="5:33" ht="12.75">
      <c r="E419" s="148"/>
      <c r="F419" s="148"/>
      <c r="G419" s="148"/>
      <c r="H419" s="148"/>
      <c r="AF419" s="4"/>
      <c r="AG419" s="4"/>
    </row>
    <row r="420" spans="5:33" ht="12.75">
      <c r="E420" s="148"/>
      <c r="F420" s="148"/>
      <c r="G420" s="148"/>
      <c r="H420" s="148"/>
      <c r="AF420" s="4"/>
      <c r="AG420" s="4"/>
    </row>
    <row r="421" spans="5:33" ht="12.75">
      <c r="E421" s="148"/>
      <c r="F421" s="148"/>
      <c r="G421" s="148"/>
      <c r="H421" s="148"/>
      <c r="AF421" s="4"/>
      <c r="AG421" s="4"/>
    </row>
    <row r="422" spans="5:33" ht="12.75">
      <c r="E422" s="148"/>
      <c r="F422" s="148"/>
      <c r="G422" s="148"/>
      <c r="H422" s="148"/>
      <c r="AF422" s="4"/>
      <c r="AG422" s="4"/>
    </row>
    <row r="423" spans="5:33" ht="12.75">
      <c r="E423" s="148"/>
      <c r="F423" s="148"/>
      <c r="G423" s="148"/>
      <c r="H423" s="148"/>
      <c r="AF423" s="4"/>
      <c r="AG423" s="4"/>
    </row>
    <row r="424" spans="5:33" ht="12.75">
      <c r="E424" s="148"/>
      <c r="F424" s="148"/>
      <c r="G424" s="148"/>
      <c r="H424" s="148"/>
      <c r="AF424" s="4"/>
      <c r="AG424" s="4"/>
    </row>
    <row r="425" spans="5:33" ht="12.75">
      <c r="E425" s="148"/>
      <c r="F425" s="148"/>
      <c r="G425" s="148"/>
      <c r="H425" s="148"/>
      <c r="AF425" s="4"/>
      <c r="AG425" s="4"/>
    </row>
    <row r="426" spans="5:33" ht="12.75">
      <c r="E426" s="148"/>
      <c r="F426" s="148"/>
      <c r="G426" s="148"/>
      <c r="H426" s="148"/>
      <c r="AF426" s="4"/>
      <c r="AG426" s="4"/>
    </row>
    <row r="427" spans="5:33" ht="12.75">
      <c r="E427" s="148"/>
      <c r="F427" s="148"/>
      <c r="G427" s="148"/>
      <c r="H427" s="148"/>
      <c r="AF427" s="4"/>
      <c r="AG427" s="4"/>
    </row>
    <row r="428" spans="5:33" ht="12.75">
      <c r="E428" s="148"/>
      <c r="F428" s="148"/>
      <c r="G428" s="148"/>
      <c r="H428" s="148"/>
      <c r="AF428" s="4"/>
      <c r="AG428" s="4"/>
    </row>
    <row r="429" spans="5:33" ht="12.75">
      <c r="E429" s="148"/>
      <c r="F429" s="148"/>
      <c r="G429" s="148"/>
      <c r="H429" s="148"/>
      <c r="AF429" s="4"/>
      <c r="AG429" s="4"/>
    </row>
    <row r="430" spans="5:33" ht="12.75">
      <c r="E430" s="148"/>
      <c r="F430" s="148"/>
      <c r="G430" s="148"/>
      <c r="H430" s="148"/>
      <c r="AF430" s="4"/>
      <c r="AG430" s="4"/>
    </row>
    <row r="431" spans="5:33" ht="12.75">
      <c r="E431" s="148"/>
      <c r="F431" s="148"/>
      <c r="G431" s="148"/>
      <c r="H431" s="148"/>
      <c r="AF431" s="4"/>
      <c r="AG431" s="4"/>
    </row>
    <row r="432" spans="5:33" ht="12.75">
      <c r="E432" s="148"/>
      <c r="F432" s="148"/>
      <c r="G432" s="148"/>
      <c r="H432" s="148"/>
      <c r="AF432" s="4"/>
      <c r="AG432" s="4"/>
    </row>
    <row r="433" spans="5:33" ht="12.75">
      <c r="E433" s="148"/>
      <c r="F433" s="148"/>
      <c r="G433" s="148"/>
      <c r="H433" s="148"/>
      <c r="AF433" s="4"/>
      <c r="AG433" s="4"/>
    </row>
    <row r="434" spans="5:33" ht="12.75">
      <c r="E434" s="148"/>
      <c r="F434" s="148"/>
      <c r="G434" s="148"/>
      <c r="H434" s="148"/>
      <c r="AF434" s="4"/>
      <c r="AG434" s="4"/>
    </row>
    <row r="435" spans="5:33" ht="12.75">
      <c r="E435" s="148"/>
      <c r="F435" s="148"/>
      <c r="G435" s="148"/>
      <c r="H435" s="148"/>
      <c r="AF435" s="4"/>
      <c r="AG435" s="4"/>
    </row>
    <row r="436" spans="5:33" ht="12.75">
      <c r="E436" s="148"/>
      <c r="F436" s="148"/>
      <c r="G436" s="148"/>
      <c r="H436" s="148"/>
      <c r="AF436" s="4"/>
      <c r="AG436" s="4"/>
    </row>
    <row r="437" spans="5:33" ht="12.75">
      <c r="E437" s="148"/>
      <c r="F437" s="148"/>
      <c r="G437" s="148"/>
      <c r="H437" s="148"/>
      <c r="AF437" s="4"/>
      <c r="AG437" s="4"/>
    </row>
    <row r="438" spans="5:33" ht="12.75">
      <c r="E438" s="148"/>
      <c r="F438" s="148"/>
      <c r="G438" s="148"/>
      <c r="H438" s="148"/>
      <c r="AF438" s="4"/>
      <c r="AG438" s="4"/>
    </row>
    <row r="439" spans="5:33" ht="12.75">
      <c r="E439" s="148"/>
      <c r="F439" s="148"/>
      <c r="G439" s="148"/>
      <c r="H439" s="148"/>
      <c r="AF439" s="4"/>
      <c r="AG439" s="4"/>
    </row>
    <row r="440" spans="5:33" ht="12.75">
      <c r="E440" s="148"/>
      <c r="F440" s="148"/>
      <c r="G440" s="148"/>
      <c r="H440" s="148"/>
      <c r="AF440" s="4"/>
      <c r="AG440" s="4"/>
    </row>
    <row r="441" spans="5:33" ht="12.75">
      <c r="E441" s="148"/>
      <c r="F441" s="148"/>
      <c r="G441" s="148"/>
      <c r="H441" s="148"/>
      <c r="AF441" s="4"/>
      <c r="AG441" s="4"/>
    </row>
    <row r="442" spans="5:33" ht="12.75">
      <c r="E442" s="148"/>
      <c r="F442" s="148"/>
      <c r="G442" s="148"/>
      <c r="H442" s="148"/>
      <c r="AF442" s="4"/>
      <c r="AG442" s="4"/>
    </row>
    <row r="443" spans="5:33" ht="12.75">
      <c r="E443" s="148"/>
      <c r="F443" s="148"/>
      <c r="G443" s="148"/>
      <c r="H443" s="148"/>
      <c r="AF443" s="4"/>
      <c r="AG443" s="4"/>
    </row>
    <row r="444" spans="5:33" ht="12.75">
      <c r="E444" s="148"/>
      <c r="F444" s="148"/>
      <c r="G444" s="148"/>
      <c r="H444" s="148"/>
      <c r="AF444" s="4"/>
      <c r="AG444" s="4"/>
    </row>
    <row r="445" spans="5:33" ht="12.75">
      <c r="E445" s="148"/>
      <c r="F445" s="148"/>
      <c r="G445" s="148"/>
      <c r="H445" s="148"/>
      <c r="AF445" s="4"/>
      <c r="AG445" s="4"/>
    </row>
    <row r="446" spans="5:33" ht="12.75">
      <c r="E446" s="148"/>
      <c r="F446" s="148"/>
      <c r="G446" s="148"/>
      <c r="H446" s="148"/>
      <c r="AF446" s="4"/>
      <c r="AG446" s="4"/>
    </row>
    <row r="447" spans="5:33" ht="12.75">
      <c r="E447" s="148"/>
      <c r="F447" s="148"/>
      <c r="G447" s="148"/>
      <c r="H447" s="148"/>
      <c r="AF447" s="4"/>
      <c r="AG447" s="4"/>
    </row>
    <row r="448" spans="5:33" ht="12.75">
      <c r="E448" s="148"/>
      <c r="F448" s="148"/>
      <c r="G448" s="148"/>
      <c r="H448" s="148"/>
      <c r="AF448" s="4"/>
      <c r="AG448" s="4"/>
    </row>
    <row r="449" spans="5:33" ht="12.75">
      <c r="E449" s="148"/>
      <c r="F449" s="148"/>
      <c r="G449" s="148"/>
      <c r="H449" s="148"/>
      <c r="AF449" s="4"/>
      <c r="AG449" s="4"/>
    </row>
    <row r="450" spans="5:33" ht="12.75">
      <c r="E450" s="148"/>
      <c r="F450" s="148"/>
      <c r="G450" s="148"/>
      <c r="H450" s="148"/>
      <c r="AF450" s="4"/>
      <c r="AG450" s="4"/>
    </row>
    <row r="451" spans="5:33" ht="12.75">
      <c r="E451" s="148"/>
      <c r="F451" s="148"/>
      <c r="G451" s="148"/>
      <c r="H451" s="148"/>
      <c r="AF451" s="4"/>
      <c r="AG451" s="4"/>
    </row>
    <row r="452" spans="5:33" ht="12.75">
      <c r="E452" s="148"/>
      <c r="F452" s="148"/>
      <c r="G452" s="148"/>
      <c r="H452" s="148"/>
      <c r="AF452" s="4"/>
      <c r="AG452" s="4"/>
    </row>
    <row r="453" spans="5:33" ht="12.75">
      <c r="E453" s="148"/>
      <c r="F453" s="148"/>
      <c r="G453" s="148"/>
      <c r="H453" s="148"/>
      <c r="AF453" s="4"/>
      <c r="AG453" s="4"/>
    </row>
    <row r="454" spans="5:33" ht="12.75">
      <c r="E454" s="148"/>
      <c r="F454" s="148"/>
      <c r="G454" s="148"/>
      <c r="H454" s="148"/>
      <c r="AF454" s="4"/>
      <c r="AG454" s="4"/>
    </row>
    <row r="455" spans="5:33" ht="12.75">
      <c r="E455" s="148"/>
      <c r="F455" s="148"/>
      <c r="G455" s="148"/>
      <c r="H455" s="148"/>
      <c r="AF455" s="4"/>
      <c r="AG455" s="4"/>
    </row>
    <row r="456" spans="5:33" ht="12.75">
      <c r="E456" s="148"/>
      <c r="F456" s="148"/>
      <c r="G456" s="148"/>
      <c r="H456" s="148"/>
      <c r="AF456" s="4"/>
      <c r="AG456" s="4"/>
    </row>
    <row r="457" spans="5:33" ht="12.75">
      <c r="E457" s="148"/>
      <c r="F457" s="148"/>
      <c r="G457" s="148"/>
      <c r="H457" s="148"/>
      <c r="AF457" s="4"/>
      <c r="AG457" s="4"/>
    </row>
    <row r="458" spans="5:33" ht="12.75">
      <c r="E458" s="148"/>
      <c r="F458" s="148"/>
      <c r="G458" s="148"/>
      <c r="H458" s="148"/>
      <c r="AF458" s="4"/>
      <c r="AG458" s="4"/>
    </row>
    <row r="459" spans="5:33" ht="12.75">
      <c r="E459" s="148"/>
      <c r="F459" s="148"/>
      <c r="G459" s="148"/>
      <c r="H459" s="148"/>
      <c r="AF459" s="4"/>
      <c r="AG459" s="4"/>
    </row>
    <row r="460" spans="5:33" ht="12.75">
      <c r="E460" s="148"/>
      <c r="F460" s="148"/>
      <c r="G460" s="148"/>
      <c r="H460" s="148"/>
      <c r="AF460" s="4"/>
      <c r="AG460" s="4"/>
    </row>
    <row r="461" spans="5:33" ht="12.75">
      <c r="E461" s="148"/>
      <c r="F461" s="148"/>
      <c r="G461" s="148"/>
      <c r="H461" s="148"/>
      <c r="AF461" s="4"/>
      <c r="AG461" s="4"/>
    </row>
    <row r="462" spans="5:33" ht="12.75">
      <c r="E462" s="148"/>
      <c r="F462" s="148"/>
      <c r="G462" s="148"/>
      <c r="H462" s="148"/>
      <c r="AF462" s="4"/>
      <c r="AG462" s="4"/>
    </row>
    <row r="463" spans="5:33" ht="12.75">
      <c r="E463" s="148"/>
      <c r="F463" s="148"/>
      <c r="G463" s="148"/>
      <c r="H463" s="148"/>
      <c r="AF463" s="4"/>
      <c r="AG463" s="4"/>
    </row>
    <row r="464" spans="5:33" ht="12.75">
      <c r="E464" s="148"/>
      <c r="F464" s="148"/>
      <c r="G464" s="148"/>
      <c r="H464" s="148"/>
      <c r="AF464" s="4"/>
      <c r="AG464" s="4"/>
    </row>
    <row r="465" spans="5:33" ht="12.75">
      <c r="E465" s="148"/>
      <c r="F465" s="148"/>
      <c r="G465" s="148"/>
      <c r="H465" s="148"/>
      <c r="AF465" s="4"/>
      <c r="AG465" s="4"/>
    </row>
    <row r="466" spans="5:33" ht="12.75">
      <c r="E466" s="148"/>
      <c r="F466" s="148"/>
      <c r="G466" s="148"/>
      <c r="H466" s="148"/>
      <c r="AF466" s="4"/>
      <c r="AG466" s="4"/>
    </row>
    <row r="467" spans="5:33" ht="12.75">
      <c r="E467" s="148"/>
      <c r="F467" s="148"/>
      <c r="G467" s="148"/>
      <c r="H467" s="148"/>
      <c r="AF467" s="4"/>
      <c r="AG467" s="4"/>
    </row>
    <row r="468" spans="5:33" ht="12.75">
      <c r="E468" s="148"/>
      <c r="F468" s="148"/>
      <c r="G468" s="148"/>
      <c r="H468" s="148"/>
      <c r="AF468" s="4"/>
      <c r="AG468" s="4"/>
    </row>
    <row r="469" spans="5:33" ht="12.75">
      <c r="E469" s="148"/>
      <c r="F469" s="148"/>
      <c r="G469" s="148"/>
      <c r="H469" s="148"/>
      <c r="AF469" s="4"/>
      <c r="AG469" s="4"/>
    </row>
    <row r="470" spans="5:33" ht="12.75">
      <c r="E470" s="148"/>
      <c r="F470" s="148"/>
      <c r="G470" s="148"/>
      <c r="H470" s="148"/>
      <c r="AF470" s="4"/>
      <c r="AG470" s="4"/>
    </row>
    <row r="471" spans="5:33" ht="12.75">
      <c r="E471" s="148"/>
      <c r="F471" s="148"/>
      <c r="G471" s="148"/>
      <c r="H471" s="148"/>
      <c r="AF471" s="4"/>
      <c r="AG471" s="4"/>
    </row>
    <row r="472" spans="5:33" ht="12.75">
      <c r="E472" s="148"/>
      <c r="F472" s="148"/>
      <c r="G472" s="148"/>
      <c r="H472" s="148"/>
      <c r="AF472" s="4"/>
      <c r="AG472" s="4"/>
    </row>
    <row r="473" spans="5:33" ht="12.75">
      <c r="E473" s="148"/>
      <c r="F473" s="148"/>
      <c r="G473" s="148"/>
      <c r="H473" s="148"/>
      <c r="AF473" s="4"/>
      <c r="AG473" s="4"/>
    </row>
    <row r="474" spans="5:33" ht="12.75">
      <c r="E474" s="148"/>
      <c r="F474" s="148"/>
      <c r="G474" s="148"/>
      <c r="H474" s="148"/>
      <c r="AF474" s="4"/>
      <c r="AG474" s="4"/>
    </row>
    <row r="475" spans="5:33" ht="12.75">
      <c r="E475" s="148"/>
      <c r="F475" s="148"/>
      <c r="G475" s="148"/>
      <c r="H475" s="148"/>
      <c r="AF475" s="4"/>
      <c r="AG475" s="4"/>
    </row>
    <row r="476" spans="5:33" ht="12.75">
      <c r="E476" s="148"/>
      <c r="F476" s="148"/>
      <c r="G476" s="148"/>
      <c r="H476" s="148"/>
      <c r="AF476" s="4"/>
      <c r="AG476" s="4"/>
    </row>
    <row r="477" spans="5:33" ht="12.75">
      <c r="E477" s="148"/>
      <c r="F477" s="148"/>
      <c r="G477" s="148"/>
      <c r="H477" s="148"/>
      <c r="AF477" s="4"/>
      <c r="AG477" s="4"/>
    </row>
    <row r="478" spans="5:33" ht="12.75">
      <c r="E478" s="148"/>
      <c r="F478" s="148"/>
      <c r="G478" s="148"/>
      <c r="H478" s="148"/>
      <c r="AF478" s="4"/>
      <c r="AG478" s="4"/>
    </row>
    <row r="479" spans="5:33" ht="12.75">
      <c r="E479" s="148"/>
      <c r="F479" s="148"/>
      <c r="G479" s="148"/>
      <c r="H479" s="148"/>
      <c r="AF479" s="4"/>
      <c r="AG479" s="4"/>
    </row>
    <row r="480" spans="5:33" ht="12.75">
      <c r="E480" s="148"/>
      <c r="F480" s="148"/>
      <c r="G480" s="148"/>
      <c r="H480" s="148"/>
      <c r="AF480" s="4"/>
      <c r="AG480" s="4"/>
    </row>
    <row r="481" spans="5:33" ht="12.75">
      <c r="E481" s="148"/>
      <c r="F481" s="148"/>
      <c r="G481" s="148"/>
      <c r="H481" s="148"/>
      <c r="AF481" s="4"/>
      <c r="AG481" s="4"/>
    </row>
    <row r="482" spans="5:33" ht="12.75">
      <c r="E482" s="148"/>
      <c r="F482" s="148"/>
      <c r="G482" s="148"/>
      <c r="H482" s="148"/>
      <c r="AF482" s="4"/>
      <c r="AG482" s="4"/>
    </row>
    <row r="483" spans="5:33" ht="12.75">
      <c r="E483" s="148"/>
      <c r="F483" s="148"/>
      <c r="G483" s="148"/>
      <c r="H483" s="148"/>
      <c r="AF483" s="4"/>
      <c r="AG483" s="4"/>
    </row>
    <row r="484" spans="5:33" ht="12.75">
      <c r="E484" s="148"/>
      <c r="F484" s="148"/>
      <c r="G484" s="148"/>
      <c r="H484" s="148"/>
      <c r="AF484" s="4"/>
      <c r="AG484" s="4"/>
    </row>
    <row r="485" spans="5:33" ht="12.75">
      <c r="E485" s="148"/>
      <c r="F485" s="148"/>
      <c r="G485" s="148"/>
      <c r="H485" s="148"/>
      <c r="AF485" s="4"/>
      <c r="AG485" s="4"/>
    </row>
    <row r="486" spans="5:33" ht="12.75">
      <c r="E486" s="148"/>
      <c r="F486" s="148"/>
      <c r="G486" s="148"/>
      <c r="H486" s="148"/>
      <c r="AF486" s="4"/>
      <c r="AG486" s="4"/>
    </row>
    <row r="487" spans="5:33" ht="12.75">
      <c r="E487" s="148"/>
      <c r="F487" s="148"/>
      <c r="G487" s="148"/>
      <c r="H487" s="148"/>
      <c r="AF487" s="4"/>
      <c r="AG487" s="4"/>
    </row>
    <row r="488" spans="5:33" ht="12.75">
      <c r="E488" s="148"/>
      <c r="F488" s="148"/>
      <c r="G488" s="148"/>
      <c r="H488" s="148"/>
      <c r="AF488" s="4"/>
      <c r="AG488" s="4"/>
    </row>
    <row r="489" spans="5:33" ht="12.75">
      <c r="E489" s="148"/>
      <c r="F489" s="148"/>
      <c r="G489" s="148"/>
      <c r="H489" s="148"/>
      <c r="AF489" s="4"/>
      <c r="AG489" s="4"/>
    </row>
    <row r="490" spans="5:33" ht="12.75">
      <c r="E490" s="148"/>
      <c r="F490" s="148"/>
      <c r="G490" s="148"/>
      <c r="H490" s="148"/>
      <c r="AF490" s="4"/>
      <c r="AG490" s="4"/>
    </row>
    <row r="491" spans="5:33" ht="12.75">
      <c r="E491" s="148"/>
      <c r="F491" s="148"/>
      <c r="G491" s="148"/>
      <c r="H491" s="148"/>
      <c r="AF491" s="4"/>
      <c r="AG491" s="4"/>
    </row>
    <row r="492" spans="5:33" ht="12.75">
      <c r="E492" s="148"/>
      <c r="F492" s="148"/>
      <c r="G492" s="148"/>
      <c r="H492" s="148"/>
      <c r="AF492" s="4"/>
      <c r="AG492" s="4"/>
    </row>
    <row r="493" spans="5:33" ht="12.75">
      <c r="E493" s="148"/>
      <c r="F493" s="148"/>
      <c r="G493" s="148"/>
      <c r="H493" s="148"/>
      <c r="AF493" s="4"/>
      <c r="AG493" s="4"/>
    </row>
    <row r="494" spans="5:33" ht="12.75">
      <c r="E494" s="148"/>
      <c r="F494" s="148"/>
      <c r="G494" s="148"/>
      <c r="H494" s="148"/>
      <c r="AF494" s="4"/>
      <c r="AG494" s="4"/>
    </row>
    <row r="495" spans="5:33" ht="12.75">
      <c r="E495" s="148"/>
      <c r="F495" s="148"/>
      <c r="G495" s="148"/>
      <c r="H495" s="148"/>
      <c r="AF495" s="4"/>
      <c r="AG495" s="4"/>
    </row>
    <row r="496" spans="5:33" ht="12.75">
      <c r="E496" s="148"/>
      <c r="F496" s="148"/>
      <c r="G496" s="148"/>
      <c r="H496" s="148"/>
      <c r="AF496" s="4"/>
      <c r="AG496" s="4"/>
    </row>
    <row r="497" spans="5:33" ht="12.75">
      <c r="E497" s="148"/>
      <c r="F497" s="148"/>
      <c r="G497" s="148"/>
      <c r="H497" s="148"/>
      <c r="AF497" s="4"/>
      <c r="AG497" s="4"/>
    </row>
    <row r="498" spans="5:33" ht="12.75">
      <c r="E498" s="148"/>
      <c r="F498" s="148"/>
      <c r="G498" s="148"/>
      <c r="H498" s="148"/>
      <c r="AF498" s="4"/>
      <c r="AG498" s="4"/>
    </row>
    <row r="499" spans="5:33" ht="12.75">
      <c r="E499" s="148"/>
      <c r="F499" s="148"/>
      <c r="G499" s="148"/>
      <c r="H499" s="148"/>
      <c r="AF499" s="4"/>
      <c r="AG499" s="4"/>
    </row>
    <row r="500" spans="5:33" ht="12.75">
      <c r="E500" s="148"/>
      <c r="F500" s="148"/>
      <c r="G500" s="148"/>
      <c r="H500" s="148"/>
      <c r="AF500" s="4"/>
      <c r="AG500" s="4"/>
    </row>
    <row r="501" spans="5:33" ht="12.75">
      <c r="E501" s="148"/>
      <c r="F501" s="148"/>
      <c r="G501" s="148"/>
      <c r="H501" s="148"/>
      <c r="AF501" s="4"/>
      <c r="AG501" s="4"/>
    </row>
    <row r="502" spans="5:33" ht="12.75">
      <c r="E502" s="148"/>
      <c r="F502" s="148"/>
      <c r="G502" s="148"/>
      <c r="H502" s="148"/>
      <c r="AF502" s="4"/>
      <c r="AG502" s="4"/>
    </row>
    <row r="503" spans="5:33" ht="12.75">
      <c r="E503" s="148"/>
      <c r="F503" s="148"/>
      <c r="G503" s="148"/>
      <c r="H503" s="148"/>
      <c r="AF503" s="4"/>
      <c r="AG503" s="4"/>
    </row>
    <row r="504" spans="5:33" ht="12.75">
      <c r="E504" s="148"/>
      <c r="F504" s="148"/>
      <c r="G504" s="148"/>
      <c r="H504" s="148"/>
      <c r="AF504" s="4"/>
      <c r="AG504" s="4"/>
    </row>
    <row r="505" spans="5:33" ht="12.75">
      <c r="E505" s="148"/>
      <c r="F505" s="148"/>
      <c r="G505" s="148"/>
      <c r="H505" s="148"/>
      <c r="AF505" s="4"/>
      <c r="AG505" s="4"/>
    </row>
    <row r="506" spans="5:33" ht="12.75">
      <c r="E506" s="148"/>
      <c r="F506" s="148"/>
      <c r="G506" s="148"/>
      <c r="H506" s="148"/>
      <c r="AF506" s="4"/>
      <c r="AG506" s="4"/>
    </row>
    <row r="507" spans="5:33" ht="12.75">
      <c r="E507" s="148"/>
      <c r="F507" s="148"/>
      <c r="G507" s="148"/>
      <c r="H507" s="148"/>
      <c r="AF507" s="4"/>
      <c r="AG507" s="4"/>
    </row>
    <row r="508" spans="5:33" ht="12.75">
      <c r="E508" s="148"/>
      <c r="F508" s="148"/>
      <c r="G508" s="148"/>
      <c r="H508" s="148"/>
      <c r="AF508" s="4"/>
      <c r="AG508" s="4"/>
    </row>
    <row r="509" spans="5:33" ht="12.75">
      <c r="E509" s="148"/>
      <c r="F509" s="148"/>
      <c r="G509" s="148"/>
      <c r="H509" s="148"/>
      <c r="AF509" s="4"/>
      <c r="AG509" s="4"/>
    </row>
    <row r="510" spans="5:33" ht="12.75">
      <c r="E510" s="148"/>
      <c r="F510" s="148"/>
      <c r="G510" s="148"/>
      <c r="H510" s="148"/>
      <c r="AF510" s="4"/>
      <c r="AG510" s="4"/>
    </row>
    <row r="511" spans="5:33" ht="12.75">
      <c r="E511" s="148"/>
      <c r="F511" s="148"/>
      <c r="G511" s="148"/>
      <c r="H511" s="148"/>
      <c r="AF511" s="4"/>
      <c r="AG511" s="4"/>
    </row>
    <row r="512" spans="5:33" ht="12.75">
      <c r="E512" s="148"/>
      <c r="F512" s="148"/>
      <c r="G512" s="148"/>
      <c r="H512" s="148"/>
      <c r="AF512" s="4"/>
      <c r="AG512" s="4"/>
    </row>
    <row r="513" spans="5:33" ht="12.75">
      <c r="E513" s="148"/>
      <c r="F513" s="148"/>
      <c r="G513" s="148"/>
      <c r="H513" s="148"/>
      <c r="AF513" s="4"/>
      <c r="AG513" s="4"/>
    </row>
    <row r="514" spans="5:33" ht="12.75">
      <c r="E514" s="148"/>
      <c r="F514" s="148"/>
      <c r="G514" s="148"/>
      <c r="H514" s="148"/>
      <c r="AF514" s="4"/>
      <c r="AG514" s="4"/>
    </row>
    <row r="515" spans="5:33" ht="12.75">
      <c r="E515" s="148"/>
      <c r="F515" s="148"/>
      <c r="G515" s="148"/>
      <c r="H515" s="148"/>
      <c r="AF515" s="4"/>
      <c r="AG515" s="4"/>
    </row>
    <row r="516" spans="5:33" ht="12.75">
      <c r="E516" s="148"/>
      <c r="F516" s="148"/>
      <c r="G516" s="148"/>
      <c r="H516" s="148"/>
      <c r="AF516" s="4"/>
      <c r="AG516" s="4"/>
    </row>
    <row r="517" spans="5:33" ht="12.75">
      <c r="E517" s="148"/>
      <c r="F517" s="148"/>
      <c r="G517" s="148"/>
      <c r="H517" s="148"/>
      <c r="AF517" s="4"/>
      <c r="AG517" s="4"/>
    </row>
    <row r="518" spans="5:33" ht="12.75">
      <c r="E518" s="148"/>
      <c r="F518" s="148"/>
      <c r="G518" s="148"/>
      <c r="H518" s="148"/>
      <c r="AF518" s="4"/>
      <c r="AG518" s="4"/>
    </row>
    <row r="519" spans="5:33" ht="12.75">
      <c r="E519" s="148"/>
      <c r="F519" s="148"/>
      <c r="G519" s="148"/>
      <c r="H519" s="148"/>
      <c r="AF519" s="4"/>
      <c r="AG519" s="4"/>
    </row>
    <row r="520" spans="5:33" ht="12.75">
      <c r="E520" s="148"/>
      <c r="F520" s="148"/>
      <c r="G520" s="148"/>
      <c r="H520" s="148"/>
      <c r="AF520" s="4"/>
      <c r="AG520" s="4"/>
    </row>
    <row r="521" spans="5:33" ht="12.75">
      <c r="E521" s="148"/>
      <c r="F521" s="148"/>
      <c r="G521" s="148"/>
      <c r="H521" s="148"/>
      <c r="AF521" s="4"/>
      <c r="AG521" s="4"/>
    </row>
    <row r="522" spans="5:33" ht="12.75">
      <c r="E522" s="148"/>
      <c r="F522" s="148"/>
      <c r="G522" s="148"/>
      <c r="H522" s="148"/>
      <c r="AF522" s="4"/>
      <c r="AG522" s="4"/>
    </row>
    <row r="523" spans="5:33" ht="12.75">
      <c r="E523" s="148"/>
      <c r="F523" s="148"/>
      <c r="G523" s="148"/>
      <c r="H523" s="148"/>
      <c r="AF523" s="4"/>
      <c r="AG523" s="4"/>
    </row>
    <row r="524" spans="5:33" ht="12.75">
      <c r="E524" s="148"/>
      <c r="F524" s="148"/>
      <c r="G524" s="148"/>
      <c r="H524" s="148"/>
      <c r="AF524" s="4"/>
      <c r="AG524" s="4"/>
    </row>
    <row r="525" spans="5:33" ht="12.75">
      <c r="E525" s="148"/>
      <c r="F525" s="148"/>
      <c r="G525" s="148"/>
      <c r="H525" s="148"/>
      <c r="AF525" s="4"/>
      <c r="AG525" s="4"/>
    </row>
    <row r="526" spans="5:33" ht="12.75">
      <c r="E526" s="148"/>
      <c r="F526" s="148"/>
      <c r="G526" s="148"/>
      <c r="H526" s="148"/>
      <c r="AF526" s="4"/>
      <c r="AG526" s="4"/>
    </row>
    <row r="527" spans="5:33" ht="12.75">
      <c r="E527" s="148"/>
      <c r="F527" s="148"/>
      <c r="G527" s="148"/>
      <c r="H527" s="148"/>
      <c r="AF527" s="4"/>
      <c r="AG527" s="4"/>
    </row>
    <row r="528" spans="5:33" ht="12.75">
      <c r="E528" s="148"/>
      <c r="F528" s="148"/>
      <c r="G528" s="148"/>
      <c r="H528" s="148"/>
      <c r="AF528" s="4"/>
      <c r="AG528" s="4"/>
    </row>
    <row r="529" spans="5:33" ht="12.75">
      <c r="E529" s="148"/>
      <c r="F529" s="148"/>
      <c r="G529" s="148"/>
      <c r="H529" s="148"/>
      <c r="AF529" s="4"/>
      <c r="AG529" s="4"/>
    </row>
    <row r="530" spans="5:33" ht="12.75">
      <c r="E530" s="148"/>
      <c r="F530" s="148"/>
      <c r="G530" s="148"/>
      <c r="H530" s="148"/>
      <c r="AF530" s="4"/>
      <c r="AG530" s="4"/>
    </row>
    <row r="531" spans="5:33" ht="12.75">
      <c r="E531" s="148"/>
      <c r="F531" s="148"/>
      <c r="G531" s="148"/>
      <c r="H531" s="148"/>
      <c r="AF531" s="4"/>
      <c r="AG531" s="4"/>
    </row>
    <row r="532" spans="5:33" ht="12.75">
      <c r="E532" s="148"/>
      <c r="F532" s="148"/>
      <c r="G532" s="148"/>
      <c r="H532" s="148"/>
      <c r="AF532" s="4"/>
      <c r="AG532" s="4"/>
    </row>
    <row r="533" spans="5:33" ht="12.75">
      <c r="E533" s="148"/>
      <c r="F533" s="148"/>
      <c r="G533" s="148"/>
      <c r="H533" s="148"/>
      <c r="AF533" s="4"/>
      <c r="AG533" s="4"/>
    </row>
    <row r="534" spans="5:33" ht="12.75">
      <c r="E534" s="148"/>
      <c r="F534" s="148"/>
      <c r="G534" s="148"/>
      <c r="H534" s="148"/>
      <c r="AF534" s="4"/>
      <c r="AG534" s="4"/>
    </row>
    <row r="535" spans="5:33" ht="12.75">
      <c r="E535" s="148"/>
      <c r="F535" s="148"/>
      <c r="G535" s="148"/>
      <c r="H535" s="148"/>
      <c r="AF535" s="4"/>
      <c r="AG535" s="4"/>
    </row>
    <row r="536" spans="5:33" ht="12.75">
      <c r="E536" s="148"/>
      <c r="F536" s="148"/>
      <c r="G536" s="148"/>
      <c r="H536" s="148"/>
      <c r="AF536" s="4"/>
      <c r="AG536" s="4"/>
    </row>
    <row r="537" spans="5:33" ht="12.75">
      <c r="E537" s="148"/>
      <c r="F537" s="148"/>
      <c r="G537" s="148"/>
      <c r="H537" s="148"/>
      <c r="AF537" s="4"/>
      <c r="AG537" s="4"/>
    </row>
    <row r="538" spans="5:33" ht="12.75">
      <c r="E538" s="148"/>
      <c r="F538" s="148"/>
      <c r="G538" s="148"/>
      <c r="H538" s="148"/>
      <c r="AF538" s="4"/>
      <c r="AG538" s="4"/>
    </row>
    <row r="539" spans="5:33" ht="12.75">
      <c r="E539" s="148"/>
      <c r="F539" s="148"/>
      <c r="G539" s="148"/>
      <c r="H539" s="148"/>
      <c r="AF539" s="4"/>
      <c r="AG539" s="4"/>
    </row>
    <row r="540" spans="5:33" ht="12.75">
      <c r="E540" s="148"/>
      <c r="F540" s="148"/>
      <c r="G540" s="148"/>
      <c r="H540" s="148"/>
      <c r="AF540" s="4"/>
      <c r="AG540" s="4"/>
    </row>
    <row r="541" spans="5:33" ht="12.75">
      <c r="E541" s="148"/>
      <c r="F541" s="148"/>
      <c r="G541" s="148"/>
      <c r="H541" s="148"/>
      <c r="AF541" s="4"/>
      <c r="AG541" s="4"/>
    </row>
    <row r="542" spans="5:33" ht="12.75">
      <c r="E542" s="148"/>
      <c r="F542" s="148"/>
      <c r="G542" s="148"/>
      <c r="H542" s="148"/>
      <c r="AF542" s="4"/>
      <c r="AG542" s="4"/>
    </row>
    <row r="543" spans="5:33" ht="12.75">
      <c r="E543" s="148"/>
      <c r="F543" s="148"/>
      <c r="G543" s="148"/>
      <c r="H543" s="148"/>
      <c r="AF543" s="4"/>
      <c r="AG543" s="4"/>
    </row>
    <row r="544" spans="5:33" ht="12.75">
      <c r="E544" s="148"/>
      <c r="F544" s="148"/>
      <c r="G544" s="148"/>
      <c r="H544" s="148"/>
      <c r="AF544" s="4"/>
      <c r="AG544" s="4"/>
    </row>
    <row r="545" spans="5:33" ht="12.75">
      <c r="E545" s="148"/>
      <c r="F545" s="148"/>
      <c r="G545" s="148"/>
      <c r="H545" s="148"/>
      <c r="AF545" s="4"/>
      <c r="AG545" s="4"/>
    </row>
    <row r="546" spans="5:33" ht="12.75">
      <c r="E546" s="148"/>
      <c r="F546" s="148"/>
      <c r="G546" s="148"/>
      <c r="H546" s="148"/>
      <c r="AF546" s="4"/>
      <c r="AG546" s="4"/>
    </row>
    <row r="547" spans="5:33" ht="12.75">
      <c r="E547" s="148"/>
      <c r="F547" s="148"/>
      <c r="G547" s="148"/>
      <c r="H547" s="148"/>
      <c r="AF547" s="4"/>
      <c r="AG547" s="4"/>
    </row>
    <row r="548" spans="5:33" ht="12.75">
      <c r="E548" s="148"/>
      <c r="F548" s="148"/>
      <c r="G548" s="148"/>
      <c r="H548" s="148"/>
      <c r="AF548" s="4"/>
      <c r="AG548" s="4"/>
    </row>
    <row r="549" spans="5:33" ht="12.75">
      <c r="E549" s="148"/>
      <c r="F549" s="148"/>
      <c r="G549" s="148"/>
      <c r="H549" s="148"/>
      <c r="AF549" s="4"/>
      <c r="AG549" s="4"/>
    </row>
    <row r="550" spans="5:33" ht="12.75">
      <c r="E550" s="148"/>
      <c r="F550" s="148"/>
      <c r="G550" s="148"/>
      <c r="H550" s="148"/>
      <c r="AF550" s="4"/>
      <c r="AG550" s="4"/>
    </row>
    <row r="551" spans="5:33" ht="12.75">
      <c r="E551" s="148"/>
      <c r="F551" s="148"/>
      <c r="G551" s="148"/>
      <c r="H551" s="148"/>
      <c r="AF551" s="4"/>
      <c r="AG551" s="4"/>
    </row>
    <row r="552" spans="5:33" ht="12.75">
      <c r="E552" s="148"/>
      <c r="F552" s="148"/>
      <c r="G552" s="148"/>
      <c r="H552" s="148"/>
      <c r="AF552" s="4"/>
      <c r="AG552" s="4"/>
    </row>
    <row r="553" spans="5:33" ht="12.75">
      <c r="E553" s="148"/>
      <c r="F553" s="148"/>
      <c r="G553" s="148"/>
      <c r="H553" s="148"/>
      <c r="AF553" s="4"/>
      <c r="AG553" s="4"/>
    </row>
    <row r="554" spans="5:33" ht="12.75">
      <c r="E554" s="148"/>
      <c r="F554" s="148"/>
      <c r="G554" s="148"/>
      <c r="H554" s="148"/>
      <c r="AF554" s="4"/>
      <c r="AG554" s="4"/>
    </row>
    <row r="555" spans="5:33" ht="12.75">
      <c r="E555" s="148"/>
      <c r="F555" s="148"/>
      <c r="G555" s="148"/>
      <c r="H555" s="148"/>
      <c r="AF555" s="4"/>
      <c r="AG555" s="4"/>
    </row>
    <row r="556" spans="5:33" ht="12.75">
      <c r="E556" s="148"/>
      <c r="F556" s="148"/>
      <c r="G556" s="148"/>
      <c r="H556" s="148"/>
      <c r="AF556" s="4"/>
      <c r="AG556" s="4"/>
    </row>
    <row r="557" spans="5:33" ht="12.75">
      <c r="E557" s="148"/>
      <c r="F557" s="148"/>
      <c r="G557" s="148"/>
      <c r="H557" s="148"/>
      <c r="AF557" s="4"/>
      <c r="AG557" s="4"/>
    </row>
    <row r="558" spans="5:33" ht="12.75">
      <c r="E558" s="148"/>
      <c r="F558" s="148"/>
      <c r="G558" s="148"/>
      <c r="H558" s="148"/>
      <c r="AF558" s="4"/>
      <c r="AG558" s="4"/>
    </row>
    <row r="559" spans="5:33" ht="12.75">
      <c r="E559" s="148"/>
      <c r="F559" s="148"/>
      <c r="G559" s="148"/>
      <c r="H559" s="148"/>
      <c r="AF559" s="4"/>
      <c r="AG559" s="4"/>
    </row>
    <row r="560" spans="5:33" ht="12.75">
      <c r="E560" s="148"/>
      <c r="F560" s="148"/>
      <c r="G560" s="148"/>
      <c r="H560" s="148"/>
      <c r="AF560" s="4"/>
      <c r="AG560" s="4"/>
    </row>
    <row r="561" spans="5:33" ht="12.75">
      <c r="E561" s="148"/>
      <c r="F561" s="148"/>
      <c r="G561" s="148"/>
      <c r="H561" s="148"/>
      <c r="AF561" s="4"/>
      <c r="AG561" s="4"/>
    </row>
    <row r="562" spans="5:33" ht="12.75">
      <c r="E562" s="148"/>
      <c r="F562" s="148"/>
      <c r="G562" s="148"/>
      <c r="H562" s="148"/>
      <c r="AF562" s="4"/>
      <c r="AG562" s="4"/>
    </row>
    <row r="563" spans="5:33" ht="12.75">
      <c r="E563" s="148"/>
      <c r="F563" s="148"/>
      <c r="G563" s="148"/>
      <c r="H563" s="148"/>
      <c r="AF563" s="4"/>
      <c r="AG563" s="4"/>
    </row>
    <row r="564" spans="5:33" ht="12.75">
      <c r="E564" s="148"/>
      <c r="F564" s="148"/>
      <c r="G564" s="148"/>
      <c r="H564" s="148"/>
      <c r="AF564" s="4"/>
      <c r="AG564" s="4"/>
    </row>
    <row r="565" spans="5:33" ht="12.75">
      <c r="E565" s="148"/>
      <c r="F565" s="148"/>
      <c r="G565" s="148"/>
      <c r="H565" s="148"/>
      <c r="AF565" s="4"/>
      <c r="AG565" s="4"/>
    </row>
    <row r="566" spans="5:33" ht="12.75">
      <c r="E566" s="148"/>
      <c r="F566" s="148"/>
      <c r="G566" s="148"/>
      <c r="H566" s="148"/>
      <c r="AF566" s="4"/>
      <c r="AG566" s="4"/>
    </row>
    <row r="567" spans="5:33" ht="12.75">
      <c r="E567" s="148"/>
      <c r="F567" s="148"/>
      <c r="G567" s="148"/>
      <c r="H567" s="148"/>
      <c r="AF567" s="4"/>
      <c r="AG567" s="4"/>
    </row>
    <row r="568" spans="5:33" ht="12.75">
      <c r="E568" s="148"/>
      <c r="F568" s="148"/>
      <c r="G568" s="148"/>
      <c r="H568" s="148"/>
      <c r="AF568" s="4"/>
      <c r="AG568" s="4"/>
    </row>
    <row r="569" spans="5:33" ht="12.75">
      <c r="E569" s="148"/>
      <c r="F569" s="148"/>
      <c r="G569" s="148"/>
      <c r="H569" s="148"/>
      <c r="AF569" s="4"/>
      <c r="AG569" s="4"/>
    </row>
    <row r="570" spans="5:33" ht="12.75">
      <c r="E570" s="148"/>
      <c r="F570" s="148"/>
      <c r="G570" s="148"/>
      <c r="H570" s="148"/>
      <c r="AF570" s="4"/>
      <c r="AG570" s="4"/>
    </row>
    <row r="571" spans="5:33" ht="12.75">
      <c r="E571" s="148"/>
      <c r="F571" s="148"/>
      <c r="G571" s="148"/>
      <c r="H571" s="148"/>
      <c r="AF571" s="4"/>
      <c r="AG571" s="4"/>
    </row>
    <row r="572" spans="5:33" ht="12.75">
      <c r="E572" s="148"/>
      <c r="F572" s="148"/>
      <c r="G572" s="148"/>
      <c r="H572" s="148"/>
      <c r="AF572" s="4"/>
      <c r="AG572" s="4"/>
    </row>
    <row r="573" spans="5:33" ht="12.75">
      <c r="E573" s="148"/>
      <c r="F573" s="148"/>
      <c r="G573" s="148"/>
      <c r="H573" s="148"/>
      <c r="AF573" s="4"/>
      <c r="AG573" s="4"/>
    </row>
    <row r="574" spans="5:33" ht="12.75">
      <c r="E574" s="148"/>
      <c r="F574" s="148"/>
      <c r="G574" s="148"/>
      <c r="H574" s="148"/>
      <c r="AF574" s="4"/>
      <c r="AG574" s="4"/>
    </row>
    <row r="575" spans="5:33" ht="12.75">
      <c r="E575" s="148"/>
      <c r="F575" s="148"/>
      <c r="G575" s="148"/>
      <c r="H575" s="148"/>
      <c r="AF575" s="4"/>
      <c r="AG575" s="4"/>
    </row>
    <row r="576" spans="5:33" ht="12.75">
      <c r="E576" s="148"/>
      <c r="F576" s="148"/>
      <c r="G576" s="148"/>
      <c r="H576" s="148"/>
      <c r="AF576" s="4"/>
      <c r="AG576" s="4"/>
    </row>
    <row r="577" spans="5:33" ht="12.75">
      <c r="E577" s="148"/>
      <c r="F577" s="148"/>
      <c r="G577" s="148"/>
      <c r="H577" s="148"/>
      <c r="AF577" s="4"/>
      <c r="AG577" s="4"/>
    </row>
    <row r="578" spans="5:33" ht="12.75">
      <c r="E578" s="148"/>
      <c r="F578" s="148"/>
      <c r="G578" s="148"/>
      <c r="H578" s="148"/>
      <c r="AF578" s="4"/>
      <c r="AG578" s="4"/>
    </row>
    <row r="579" spans="5:33" ht="12.75">
      <c r="E579" s="148"/>
      <c r="F579" s="148"/>
      <c r="G579" s="148"/>
      <c r="H579" s="148"/>
      <c r="AF579" s="4"/>
      <c r="AG579" s="4"/>
    </row>
    <row r="580" spans="5:33" ht="12.75">
      <c r="E580" s="148"/>
      <c r="F580" s="148"/>
      <c r="G580" s="148"/>
      <c r="H580" s="148"/>
      <c r="AF580" s="4"/>
      <c r="AG580" s="4"/>
    </row>
    <row r="581" spans="5:33" ht="12.75">
      <c r="E581" s="148"/>
      <c r="F581" s="148"/>
      <c r="G581" s="148"/>
      <c r="H581" s="148"/>
      <c r="AF581" s="4"/>
      <c r="AG581" s="4"/>
    </row>
    <row r="582" spans="5:33" ht="12.75">
      <c r="E582" s="148"/>
      <c r="F582" s="148"/>
      <c r="G582" s="148"/>
      <c r="H582" s="148"/>
      <c r="AF582" s="4"/>
      <c r="AG582" s="4"/>
    </row>
    <row r="583" spans="5:33" ht="12.75">
      <c r="E583" s="148"/>
      <c r="F583" s="148"/>
      <c r="G583" s="148"/>
      <c r="H583" s="148"/>
      <c r="AF583" s="4"/>
      <c r="AG583" s="4"/>
    </row>
    <row r="584" spans="5:33" ht="12.75">
      <c r="E584" s="148"/>
      <c r="F584" s="148"/>
      <c r="G584" s="148"/>
      <c r="H584" s="148"/>
      <c r="AF584" s="4"/>
      <c r="AG584" s="4"/>
    </row>
    <row r="585" spans="5:33" ht="12.75">
      <c r="E585" s="148"/>
      <c r="F585" s="148"/>
      <c r="G585" s="148"/>
      <c r="H585" s="148"/>
      <c r="AF585" s="4"/>
      <c r="AG585" s="4"/>
    </row>
    <row r="586" spans="5:33" ht="12.75">
      <c r="E586" s="148"/>
      <c r="F586" s="148"/>
      <c r="G586" s="148"/>
      <c r="H586" s="148"/>
      <c r="AF586" s="4"/>
      <c r="AG586" s="4"/>
    </row>
    <row r="587" spans="5:33" ht="12.75">
      <c r="E587" s="148"/>
      <c r="F587" s="148"/>
      <c r="G587" s="148"/>
      <c r="H587" s="148"/>
      <c r="AF587" s="4"/>
      <c r="AG587" s="4"/>
    </row>
    <row r="588" spans="5:33" ht="12.75">
      <c r="E588" s="148"/>
      <c r="F588" s="148"/>
      <c r="G588" s="148"/>
      <c r="H588" s="148"/>
      <c r="AF588" s="4"/>
      <c r="AG588" s="4"/>
    </row>
    <row r="589" spans="5:33" ht="12.75">
      <c r="E589" s="148"/>
      <c r="F589" s="148"/>
      <c r="G589" s="148"/>
      <c r="H589" s="148"/>
      <c r="AF589" s="4"/>
      <c r="AG589" s="4"/>
    </row>
    <row r="590" spans="5:33" ht="12.75">
      <c r="E590" s="148"/>
      <c r="F590" s="148"/>
      <c r="G590" s="148"/>
      <c r="H590" s="148"/>
      <c r="AF590" s="4"/>
      <c r="AG590" s="4"/>
    </row>
    <row r="591" spans="5:33" ht="12.75">
      <c r="E591" s="148"/>
      <c r="F591" s="148"/>
      <c r="G591" s="148"/>
      <c r="H591" s="148"/>
      <c r="AF591" s="4"/>
      <c r="AG591" s="4"/>
    </row>
    <row r="592" spans="5:33" ht="12.75">
      <c r="E592" s="148"/>
      <c r="F592" s="148"/>
      <c r="G592" s="148"/>
      <c r="H592" s="148"/>
      <c r="AF592" s="4"/>
      <c r="AG592" s="4"/>
    </row>
    <row r="593" spans="5:33" ht="12.75">
      <c r="E593" s="148"/>
      <c r="F593" s="148"/>
      <c r="G593" s="148"/>
      <c r="H593" s="148"/>
      <c r="AF593" s="4"/>
      <c r="AG593" s="4"/>
    </row>
    <row r="594" spans="5:33" ht="12.75">
      <c r="E594" s="148"/>
      <c r="F594" s="148"/>
      <c r="G594" s="148"/>
      <c r="H594" s="148"/>
      <c r="AF594" s="4"/>
      <c r="AG594" s="4"/>
    </row>
    <row r="595" spans="5:33" ht="12.75">
      <c r="E595" s="148"/>
      <c r="F595" s="148"/>
      <c r="G595" s="148"/>
      <c r="H595" s="148"/>
      <c r="AF595" s="4"/>
      <c r="AG595" s="4"/>
    </row>
    <row r="596" spans="5:33" ht="12.75">
      <c r="E596" s="148"/>
      <c r="F596" s="148"/>
      <c r="G596" s="148"/>
      <c r="H596" s="148"/>
      <c r="AF596" s="4"/>
      <c r="AG596" s="4"/>
    </row>
    <row r="597" spans="5:33" ht="12.75">
      <c r="E597" s="148"/>
      <c r="F597" s="148"/>
      <c r="G597" s="148"/>
      <c r="H597" s="148"/>
      <c r="AF597" s="4"/>
      <c r="AG597" s="4"/>
    </row>
    <row r="598" spans="5:33" ht="12.75">
      <c r="E598" s="148"/>
      <c r="F598" s="148"/>
      <c r="G598" s="148"/>
      <c r="H598" s="148"/>
      <c r="AF598" s="4"/>
      <c r="AG598" s="4"/>
    </row>
    <row r="599" spans="5:33" ht="12.75">
      <c r="E599" s="148"/>
      <c r="F599" s="148"/>
      <c r="G599" s="148"/>
      <c r="H599" s="148"/>
      <c r="AF599" s="4"/>
      <c r="AG599" s="4"/>
    </row>
    <row r="600" spans="5:33" ht="12.75">
      <c r="E600" s="148"/>
      <c r="F600" s="148"/>
      <c r="G600" s="148"/>
      <c r="H600" s="148"/>
      <c r="AF600" s="4"/>
      <c r="AG600" s="4"/>
    </row>
    <row r="601" spans="5:33" ht="12.75">
      <c r="E601" s="148"/>
      <c r="F601" s="148"/>
      <c r="G601" s="148"/>
      <c r="H601" s="148"/>
      <c r="AF601" s="4"/>
      <c r="AG601" s="4"/>
    </row>
    <row r="602" spans="5:33" ht="12.75">
      <c r="E602" s="148"/>
      <c r="F602" s="148"/>
      <c r="G602" s="148"/>
      <c r="H602" s="148"/>
      <c r="AF602" s="4"/>
      <c r="AG602" s="4"/>
    </row>
    <row r="603" spans="5:33" ht="12.75">
      <c r="E603" s="148"/>
      <c r="F603" s="148"/>
      <c r="G603" s="148"/>
      <c r="H603" s="148"/>
      <c r="AF603" s="4"/>
      <c r="AG603" s="4"/>
    </row>
    <row r="604" spans="5:33" ht="12.75">
      <c r="E604" s="148"/>
      <c r="F604" s="148"/>
      <c r="G604" s="148"/>
      <c r="H604" s="148"/>
      <c r="AF604" s="4"/>
      <c r="AG604" s="4"/>
    </row>
    <row r="605" spans="5:33" ht="12.75">
      <c r="E605" s="148"/>
      <c r="F605" s="148"/>
      <c r="G605" s="148"/>
      <c r="H605" s="148"/>
      <c r="AF605" s="4"/>
      <c r="AG605" s="4"/>
    </row>
    <row r="606" spans="5:33" ht="12.75">
      <c r="E606" s="148"/>
      <c r="F606" s="148"/>
      <c r="G606" s="148"/>
      <c r="H606" s="148"/>
      <c r="AF606" s="4"/>
      <c r="AG606" s="4"/>
    </row>
    <row r="607" spans="5:33" ht="12.75">
      <c r="E607" s="148"/>
      <c r="F607" s="148"/>
      <c r="G607" s="148"/>
      <c r="H607" s="148"/>
      <c r="AF607" s="4"/>
      <c r="AG607" s="4"/>
    </row>
    <row r="608" spans="5:33" ht="12.75">
      <c r="E608" s="148"/>
      <c r="F608" s="148"/>
      <c r="G608" s="148"/>
      <c r="H608" s="148"/>
      <c r="AF608" s="4"/>
      <c r="AG608" s="4"/>
    </row>
    <row r="609" spans="5:33" ht="12.75">
      <c r="E609" s="148"/>
      <c r="F609" s="148"/>
      <c r="G609" s="148"/>
      <c r="H609" s="148"/>
      <c r="AF609" s="4"/>
      <c r="AG609" s="4"/>
    </row>
    <row r="610" spans="5:33" ht="12.75">
      <c r="E610" s="148"/>
      <c r="F610" s="148"/>
      <c r="G610" s="148"/>
      <c r="H610" s="148"/>
      <c r="AF610" s="4"/>
      <c r="AG610" s="4"/>
    </row>
    <row r="611" spans="5:33" ht="12.75">
      <c r="E611" s="148"/>
      <c r="F611" s="148"/>
      <c r="G611" s="148"/>
      <c r="H611" s="148"/>
      <c r="AF611" s="4"/>
      <c r="AG611" s="4"/>
    </row>
    <row r="612" spans="5:33" ht="12.75">
      <c r="E612" s="148"/>
      <c r="F612" s="148"/>
      <c r="G612" s="148"/>
      <c r="H612" s="148"/>
      <c r="AF612" s="4"/>
      <c r="AG612" s="4"/>
    </row>
    <row r="613" spans="5:33" ht="12.75">
      <c r="E613" s="148"/>
      <c r="F613" s="148"/>
      <c r="G613" s="148"/>
      <c r="H613" s="148"/>
      <c r="AF613" s="4"/>
      <c r="AG613" s="4"/>
    </row>
    <row r="614" spans="5:33" ht="12.75">
      <c r="E614" s="148"/>
      <c r="F614" s="148"/>
      <c r="G614" s="148"/>
      <c r="H614" s="148"/>
      <c r="AF614" s="4"/>
      <c r="AG614" s="4"/>
    </row>
    <row r="615" spans="5:33" ht="12.75">
      <c r="E615" s="148"/>
      <c r="F615" s="148"/>
      <c r="G615" s="148"/>
      <c r="H615" s="148"/>
      <c r="AF615" s="4"/>
      <c r="AG615" s="4"/>
    </row>
    <row r="616" spans="5:33" ht="12.75">
      <c r="E616" s="148"/>
      <c r="F616" s="148"/>
      <c r="G616" s="148"/>
      <c r="H616" s="148"/>
      <c r="AF616" s="4"/>
      <c r="AG616" s="4"/>
    </row>
    <row r="617" spans="5:33" ht="12.75">
      <c r="E617" s="148"/>
      <c r="F617" s="148"/>
      <c r="G617" s="148"/>
      <c r="H617" s="148"/>
      <c r="AF617" s="4"/>
      <c r="AG617" s="4"/>
    </row>
    <row r="618" spans="5:33" ht="12.75">
      <c r="E618" s="148"/>
      <c r="F618" s="148"/>
      <c r="G618" s="148"/>
      <c r="H618" s="148"/>
      <c r="AF618" s="4"/>
      <c r="AG618" s="4"/>
    </row>
    <row r="619" spans="5:33" ht="12.75">
      <c r="E619" s="148"/>
      <c r="F619" s="148"/>
      <c r="G619" s="148"/>
      <c r="H619" s="148"/>
      <c r="AF619" s="4"/>
      <c r="AG619" s="4"/>
    </row>
    <row r="620" spans="5:33" ht="12.75">
      <c r="E620" s="148"/>
      <c r="F620" s="148"/>
      <c r="G620" s="148"/>
      <c r="H620" s="148"/>
      <c r="AF620" s="4"/>
      <c r="AG620" s="4"/>
    </row>
    <row r="621" spans="5:33" ht="12.75">
      <c r="E621" s="148"/>
      <c r="F621" s="148"/>
      <c r="G621" s="148"/>
      <c r="H621" s="148"/>
      <c r="AF621" s="4"/>
      <c r="AG621" s="4"/>
    </row>
    <row r="622" spans="5:33" ht="12.75">
      <c r="E622" s="148"/>
      <c r="F622" s="148"/>
      <c r="G622" s="148"/>
      <c r="H622" s="148"/>
      <c r="AF622" s="4"/>
      <c r="AG622" s="4"/>
    </row>
    <row r="623" spans="5:33" ht="12.75">
      <c r="E623" s="148"/>
      <c r="F623" s="148"/>
      <c r="G623" s="148"/>
      <c r="H623" s="148"/>
      <c r="AF623" s="4"/>
      <c r="AG623" s="4"/>
    </row>
    <row r="624" spans="5:33" ht="12.75">
      <c r="E624" s="148"/>
      <c r="F624" s="148"/>
      <c r="G624" s="148"/>
      <c r="H624" s="148"/>
      <c r="AF624" s="4"/>
      <c r="AG624" s="4"/>
    </row>
    <row r="625" spans="5:33" ht="12.75">
      <c r="E625" s="148"/>
      <c r="F625" s="148"/>
      <c r="G625" s="148"/>
      <c r="H625" s="148"/>
      <c r="AF625" s="4"/>
      <c r="AG625" s="4"/>
    </row>
    <row r="626" spans="5:33" ht="12.75">
      <c r="E626" s="148"/>
      <c r="F626" s="148"/>
      <c r="G626" s="148"/>
      <c r="H626" s="148"/>
      <c r="AF626" s="4"/>
      <c r="AG626" s="4"/>
    </row>
    <row r="627" spans="5:33" ht="12.75">
      <c r="E627" s="148"/>
      <c r="F627" s="148"/>
      <c r="G627" s="148"/>
      <c r="H627" s="148"/>
      <c r="AF627" s="4"/>
      <c r="AG627" s="4"/>
    </row>
    <row r="628" spans="5:33" ht="12.75">
      <c r="E628" s="148"/>
      <c r="F628" s="148"/>
      <c r="G628" s="148"/>
      <c r="H628" s="148"/>
      <c r="AF628" s="4"/>
      <c r="AG628" s="4"/>
    </row>
    <row r="629" spans="5:33" ht="12.75">
      <c r="E629" s="148"/>
      <c r="F629" s="148"/>
      <c r="G629" s="148"/>
      <c r="H629" s="148"/>
      <c r="AF629" s="4"/>
      <c r="AG629" s="4"/>
    </row>
    <row r="630" spans="5:33" ht="12.75">
      <c r="E630" s="148"/>
      <c r="F630" s="148"/>
      <c r="G630" s="148"/>
      <c r="H630" s="148"/>
      <c r="AF630" s="4"/>
      <c r="AG630" s="4"/>
    </row>
    <row r="631" spans="5:33" ht="12.75">
      <c r="E631" s="148"/>
      <c r="F631" s="148"/>
      <c r="G631" s="148"/>
      <c r="H631" s="148"/>
      <c r="AF631" s="4"/>
      <c r="AG631" s="4"/>
    </row>
    <row r="632" spans="5:33" ht="12.75">
      <c r="E632" s="148"/>
      <c r="F632" s="148"/>
      <c r="G632" s="148"/>
      <c r="H632" s="148"/>
      <c r="AF632" s="4"/>
      <c r="AG632" s="4"/>
    </row>
    <row r="633" spans="5:33" ht="12.75">
      <c r="E633" s="148"/>
      <c r="F633" s="148"/>
      <c r="G633" s="148"/>
      <c r="H633" s="148"/>
      <c r="AF633" s="4"/>
      <c r="AG633" s="4"/>
    </row>
    <row r="634" spans="5:33" ht="12.75">
      <c r="E634" s="148"/>
      <c r="F634" s="148"/>
      <c r="G634" s="148"/>
      <c r="H634" s="148"/>
      <c r="AF634" s="4"/>
      <c r="AG634" s="4"/>
    </row>
    <row r="635" spans="5:33" ht="12.75">
      <c r="E635" s="148"/>
      <c r="F635" s="148"/>
      <c r="G635" s="148"/>
      <c r="H635" s="148"/>
      <c r="AF635" s="4"/>
      <c r="AG635" s="4"/>
    </row>
    <row r="636" spans="5:33" ht="12.75">
      <c r="E636" s="148"/>
      <c r="F636" s="148"/>
      <c r="G636" s="148"/>
      <c r="H636" s="148"/>
      <c r="AF636" s="4"/>
      <c r="AG636" s="4"/>
    </row>
    <row r="637" spans="5:33" ht="12.75">
      <c r="E637" s="148"/>
      <c r="F637" s="148"/>
      <c r="G637" s="148"/>
      <c r="H637" s="148"/>
      <c r="AF637" s="4"/>
      <c r="AG637" s="4"/>
    </row>
    <row r="638" spans="5:33" ht="12.75">
      <c r="E638" s="148"/>
      <c r="F638" s="148"/>
      <c r="G638" s="148"/>
      <c r="H638" s="148"/>
      <c r="AF638" s="4"/>
      <c r="AG638" s="4"/>
    </row>
    <row r="639" spans="5:33" ht="12.75">
      <c r="E639" s="148"/>
      <c r="F639" s="148"/>
      <c r="G639" s="148"/>
      <c r="H639" s="148"/>
      <c r="AF639" s="4"/>
      <c r="AG639" s="4"/>
    </row>
    <row r="640" spans="5:33" ht="12.75">
      <c r="E640" s="148"/>
      <c r="F640" s="148"/>
      <c r="G640" s="148"/>
      <c r="H640" s="148"/>
      <c r="AF640" s="4"/>
      <c r="AG640" s="4"/>
    </row>
    <row r="641" spans="5:33" ht="12.75">
      <c r="E641" s="148"/>
      <c r="F641" s="148"/>
      <c r="G641" s="148"/>
      <c r="H641" s="148"/>
      <c r="AF641" s="4"/>
      <c r="AG641" s="4"/>
    </row>
    <row r="642" spans="5:33" ht="12.75">
      <c r="E642" s="148"/>
      <c r="F642" s="148"/>
      <c r="G642" s="148"/>
      <c r="H642" s="148"/>
      <c r="AF642" s="4"/>
      <c r="AG642" s="4"/>
    </row>
    <row r="643" spans="5:33" ht="12.75">
      <c r="E643" s="148"/>
      <c r="F643" s="148"/>
      <c r="G643" s="148"/>
      <c r="H643" s="148"/>
      <c r="AF643" s="4"/>
      <c r="AG643" s="4"/>
    </row>
    <row r="644" spans="5:33" ht="12.75">
      <c r="E644" s="148"/>
      <c r="F644" s="148"/>
      <c r="G644" s="148"/>
      <c r="H644" s="148"/>
      <c r="AF644" s="4"/>
      <c r="AG644" s="4"/>
    </row>
    <row r="645" spans="5:33" ht="12.75">
      <c r="E645" s="148"/>
      <c r="F645" s="148"/>
      <c r="G645" s="148"/>
      <c r="H645" s="148"/>
      <c r="AF645" s="4"/>
      <c r="AG645" s="4"/>
    </row>
    <row r="646" spans="5:33" ht="12.75">
      <c r="E646" s="148"/>
      <c r="F646" s="148"/>
      <c r="G646" s="148"/>
      <c r="H646" s="148"/>
      <c r="AF646" s="4"/>
      <c r="AG646" s="4"/>
    </row>
    <row r="647" spans="5:33" ht="12.75">
      <c r="E647" s="148"/>
      <c r="F647" s="148"/>
      <c r="G647" s="148"/>
      <c r="H647" s="148"/>
      <c r="AF647" s="4"/>
      <c r="AG647" s="4"/>
    </row>
    <row r="648" spans="5:33" ht="12.75">
      <c r="E648" s="148"/>
      <c r="F648" s="148"/>
      <c r="G648" s="148"/>
      <c r="H648" s="148"/>
      <c r="AF648" s="4"/>
      <c r="AG648" s="4"/>
    </row>
    <row r="649" spans="5:33" ht="12.75">
      <c r="E649" s="148"/>
      <c r="F649" s="148"/>
      <c r="G649" s="148"/>
      <c r="H649" s="148"/>
      <c r="AF649" s="4"/>
      <c r="AG649" s="4"/>
    </row>
    <row r="650" spans="5:33" ht="12.75">
      <c r="E650" s="148"/>
      <c r="F650" s="148"/>
      <c r="G650" s="148"/>
      <c r="H650" s="148"/>
      <c r="AF650" s="4"/>
      <c r="AG650" s="4"/>
    </row>
    <row r="651" spans="5:33" ht="12.75">
      <c r="E651" s="148"/>
      <c r="F651" s="148"/>
      <c r="G651" s="148"/>
      <c r="H651" s="148"/>
      <c r="AF651" s="4"/>
      <c r="AG651" s="4"/>
    </row>
    <row r="652" spans="5:33" ht="12.75">
      <c r="E652" s="148"/>
      <c r="F652" s="148"/>
      <c r="G652" s="148"/>
      <c r="H652" s="148"/>
      <c r="AF652" s="4"/>
      <c r="AG652" s="4"/>
    </row>
    <row r="653" spans="5:33" ht="12.75">
      <c r="E653" s="148"/>
      <c r="F653" s="148"/>
      <c r="G653" s="148"/>
      <c r="H653" s="148"/>
      <c r="AF653" s="4"/>
      <c r="AG653" s="4"/>
    </row>
    <row r="654" spans="5:33" ht="12.75">
      <c r="E654" s="148"/>
      <c r="F654" s="148"/>
      <c r="G654" s="148"/>
      <c r="H654" s="148"/>
      <c r="AF654" s="4"/>
      <c r="AG654" s="4"/>
    </row>
    <row r="655" spans="5:33" ht="12.75">
      <c r="E655" s="148"/>
      <c r="F655" s="148"/>
      <c r="G655" s="148"/>
      <c r="H655" s="148"/>
      <c r="AF655" s="4"/>
      <c r="AG655" s="4"/>
    </row>
    <row r="656" spans="5:33" ht="12.75">
      <c r="E656" s="148"/>
      <c r="F656" s="148"/>
      <c r="G656" s="148"/>
      <c r="H656" s="148"/>
      <c r="AF656" s="4"/>
      <c r="AG656" s="4"/>
    </row>
    <row r="657" spans="5:33" ht="12.75">
      <c r="E657" s="148"/>
      <c r="F657" s="148"/>
      <c r="G657" s="148"/>
      <c r="H657" s="148"/>
      <c r="AF657" s="4"/>
      <c r="AG657" s="4"/>
    </row>
    <row r="658" spans="5:33" ht="12.75">
      <c r="E658" s="148"/>
      <c r="F658" s="148"/>
      <c r="G658" s="148"/>
      <c r="H658" s="148"/>
      <c r="AF658" s="4"/>
      <c r="AG658" s="4"/>
    </row>
    <row r="659" spans="5:33" ht="12.75">
      <c r="E659" s="148"/>
      <c r="F659" s="148"/>
      <c r="G659" s="148"/>
      <c r="H659" s="148"/>
      <c r="AF659" s="4"/>
      <c r="AG659" s="4"/>
    </row>
    <row r="660" spans="5:33" ht="12.75">
      <c r="E660" s="148"/>
      <c r="F660" s="148"/>
      <c r="G660" s="148"/>
      <c r="H660" s="148"/>
      <c r="AF660" s="4"/>
      <c r="AG660" s="4"/>
    </row>
    <row r="661" spans="5:33" ht="12.75">
      <c r="E661" s="148"/>
      <c r="F661" s="148"/>
      <c r="G661" s="148"/>
      <c r="H661" s="148"/>
      <c r="AF661" s="4"/>
      <c r="AG661" s="4"/>
    </row>
    <row r="662" spans="5:33" ht="12.75">
      <c r="E662" s="148"/>
      <c r="F662" s="148"/>
      <c r="G662" s="148"/>
      <c r="H662" s="148"/>
      <c r="AF662" s="4"/>
      <c r="AG662" s="4"/>
    </row>
    <row r="663" spans="5:33" ht="12.75">
      <c r="E663" s="148"/>
      <c r="F663" s="148"/>
      <c r="G663" s="148"/>
      <c r="H663" s="148"/>
      <c r="AF663" s="4"/>
      <c r="AG663" s="4"/>
    </row>
    <row r="664" spans="5:33" ht="12.75">
      <c r="E664" s="148"/>
      <c r="F664" s="148"/>
      <c r="G664" s="148"/>
      <c r="H664" s="148"/>
      <c r="AF664" s="4"/>
      <c r="AG664" s="4"/>
    </row>
    <row r="665" spans="5:33" ht="12.75">
      <c r="E665" s="148"/>
      <c r="F665" s="148"/>
      <c r="G665" s="148"/>
      <c r="H665" s="148"/>
      <c r="AF665" s="4"/>
      <c r="AG665" s="4"/>
    </row>
    <row r="666" spans="5:33" ht="12.75">
      <c r="E666" s="148"/>
      <c r="F666" s="148"/>
      <c r="G666" s="148"/>
      <c r="H666" s="148"/>
      <c r="AF666" s="4"/>
      <c r="AG666" s="4"/>
    </row>
    <row r="667" spans="5:33" ht="12.75">
      <c r="E667" s="148"/>
      <c r="F667" s="148"/>
      <c r="G667" s="148"/>
      <c r="H667" s="148"/>
      <c r="AF667" s="4"/>
      <c r="AG667" s="4"/>
    </row>
    <row r="668" spans="5:33" ht="12.75">
      <c r="E668" s="148"/>
      <c r="F668" s="148"/>
      <c r="G668" s="148"/>
      <c r="H668" s="148"/>
      <c r="AF668" s="4"/>
      <c r="AG668" s="4"/>
    </row>
    <row r="669" spans="5:33" ht="12.75">
      <c r="E669" s="148"/>
      <c r="F669" s="148"/>
      <c r="G669" s="148"/>
      <c r="H669" s="148"/>
      <c r="AF669" s="4"/>
      <c r="AG669" s="4"/>
    </row>
    <row r="670" spans="5:33" ht="12.75">
      <c r="E670" s="148"/>
      <c r="F670" s="148"/>
      <c r="G670" s="148"/>
      <c r="H670" s="148"/>
      <c r="AF670" s="4"/>
      <c r="AG670" s="4"/>
    </row>
    <row r="671" spans="5:33" ht="12.75">
      <c r="E671" s="148"/>
      <c r="F671" s="148"/>
      <c r="G671" s="148"/>
      <c r="H671" s="148"/>
      <c r="AF671" s="4"/>
      <c r="AG671" s="4"/>
    </row>
    <row r="672" spans="5:33" ht="12.75">
      <c r="E672" s="148"/>
      <c r="F672" s="148"/>
      <c r="G672" s="148"/>
      <c r="H672" s="148"/>
      <c r="AF672" s="4"/>
      <c r="AG672" s="4"/>
    </row>
    <row r="673" spans="5:33" ht="12.75">
      <c r="E673" s="148"/>
      <c r="F673" s="148"/>
      <c r="G673" s="148"/>
      <c r="H673" s="148"/>
      <c r="AF673" s="4"/>
      <c r="AG673" s="4"/>
    </row>
    <row r="674" spans="5:33" ht="12.75">
      <c r="E674" s="148"/>
      <c r="F674" s="148"/>
      <c r="G674" s="148"/>
      <c r="H674" s="148"/>
      <c r="AF674" s="4"/>
      <c r="AG674" s="4"/>
    </row>
    <row r="675" spans="5:33" ht="12.75">
      <c r="E675" s="148"/>
      <c r="F675" s="148"/>
      <c r="G675" s="148"/>
      <c r="H675" s="148"/>
      <c r="AF675" s="4"/>
      <c r="AG675" s="4"/>
    </row>
    <row r="676" spans="5:33" ht="12.75">
      <c r="E676" s="148"/>
      <c r="F676" s="148"/>
      <c r="G676" s="148"/>
      <c r="H676" s="148"/>
      <c r="AF676" s="4"/>
      <c r="AG676" s="4"/>
    </row>
    <row r="677" spans="5:33" ht="12.75">
      <c r="E677" s="148"/>
      <c r="F677" s="148"/>
      <c r="G677" s="148"/>
      <c r="H677" s="148"/>
      <c r="AF677" s="4"/>
      <c r="AG677" s="4"/>
    </row>
    <row r="678" spans="5:33" ht="12.75">
      <c r="E678" s="148"/>
      <c r="F678" s="148"/>
      <c r="G678" s="148"/>
      <c r="H678" s="148"/>
      <c r="AF678" s="4"/>
      <c r="AG678" s="4"/>
    </row>
    <row r="679" spans="5:33" ht="12.75">
      <c r="E679" s="148"/>
      <c r="F679" s="148"/>
      <c r="G679" s="148"/>
      <c r="H679" s="148"/>
      <c r="AF679" s="4"/>
      <c r="AG679" s="4"/>
    </row>
    <row r="680" spans="5:33" ht="12.75">
      <c r="E680" s="148"/>
      <c r="F680" s="148"/>
      <c r="G680" s="148"/>
      <c r="H680" s="148"/>
      <c r="AF680" s="4"/>
      <c r="AG680" s="4"/>
    </row>
    <row r="681" spans="5:33" ht="12.75">
      <c r="E681" s="148"/>
      <c r="F681" s="148"/>
      <c r="G681" s="148"/>
      <c r="H681" s="148"/>
      <c r="AF681" s="4"/>
      <c r="AG681" s="4"/>
    </row>
    <row r="682" spans="5:33" ht="12.75">
      <c r="E682" s="148"/>
      <c r="F682" s="148"/>
      <c r="G682" s="148"/>
      <c r="H682" s="148"/>
      <c r="AF682" s="4"/>
      <c r="AG682" s="4"/>
    </row>
    <row r="683" spans="5:33" ht="12.75">
      <c r="E683" s="148"/>
      <c r="F683" s="148"/>
      <c r="G683" s="148"/>
      <c r="H683" s="148"/>
      <c r="AF683" s="4"/>
      <c r="AG683" s="4"/>
    </row>
    <row r="684" spans="5:33" ht="12.75">
      <c r="E684" s="148"/>
      <c r="F684" s="148"/>
      <c r="G684" s="148"/>
      <c r="H684" s="148"/>
      <c r="AF684" s="4"/>
      <c r="AG684" s="4"/>
    </row>
    <row r="685" spans="5:33" ht="12.75">
      <c r="E685" s="148"/>
      <c r="F685" s="148"/>
      <c r="G685" s="148"/>
      <c r="H685" s="148"/>
      <c r="AF685" s="4"/>
      <c r="AG685" s="4"/>
    </row>
    <row r="686" spans="5:33" ht="12.75">
      <c r="E686" s="148"/>
      <c r="F686" s="148"/>
      <c r="G686" s="148"/>
      <c r="H686" s="148"/>
      <c r="AF686" s="4"/>
      <c r="AG686" s="4"/>
    </row>
    <row r="687" spans="5:33" ht="12.75">
      <c r="E687" s="148"/>
      <c r="F687" s="148"/>
      <c r="G687" s="148"/>
      <c r="H687" s="148"/>
      <c r="AF687" s="4"/>
      <c r="AG687" s="4"/>
    </row>
    <row r="688" spans="5:33" ht="12.75">
      <c r="E688" s="148"/>
      <c r="F688" s="148"/>
      <c r="G688" s="148"/>
      <c r="H688" s="148"/>
      <c r="AF688" s="4"/>
      <c r="AG688" s="4"/>
    </row>
    <row r="689" spans="5:33" ht="12.75">
      <c r="E689" s="148"/>
      <c r="F689" s="148"/>
      <c r="G689" s="148"/>
      <c r="H689" s="148"/>
      <c r="AF689" s="4"/>
      <c r="AG689" s="4"/>
    </row>
    <row r="690" spans="5:33" ht="12.75">
      <c r="E690" s="148"/>
      <c r="F690" s="148"/>
      <c r="G690" s="148"/>
      <c r="H690" s="148"/>
      <c r="AF690" s="4"/>
      <c r="AG690" s="4"/>
    </row>
    <row r="691" spans="5:33" ht="12.75">
      <c r="E691" s="148"/>
      <c r="F691" s="148"/>
      <c r="G691" s="148"/>
      <c r="H691" s="148"/>
      <c r="AF691" s="4"/>
      <c r="AG691" s="4"/>
    </row>
    <row r="692" spans="5:33" ht="12.75">
      <c r="E692" s="148"/>
      <c r="F692" s="148"/>
      <c r="G692" s="148"/>
      <c r="H692" s="148"/>
      <c r="AF692" s="4"/>
      <c r="AG692" s="4"/>
    </row>
    <row r="693" spans="5:33" ht="12.75">
      <c r="E693" s="148"/>
      <c r="F693" s="148"/>
      <c r="G693" s="148"/>
      <c r="H693" s="148"/>
      <c r="AF693" s="4"/>
      <c r="AG693" s="4"/>
    </row>
    <row r="694" spans="5:33" ht="12.75">
      <c r="E694" s="148"/>
      <c r="F694" s="148"/>
      <c r="G694" s="148"/>
      <c r="H694" s="148"/>
      <c r="AF694" s="4"/>
      <c r="AG694" s="4"/>
    </row>
    <row r="695" spans="5:33" ht="12.75">
      <c r="E695" s="148"/>
      <c r="F695" s="148"/>
      <c r="G695" s="148"/>
      <c r="H695" s="148"/>
      <c r="AF695" s="4"/>
      <c r="AG695" s="4"/>
    </row>
    <row r="696" spans="5:33" ht="12.75">
      <c r="E696" s="148"/>
      <c r="F696" s="148"/>
      <c r="G696" s="148"/>
      <c r="H696" s="148"/>
      <c r="AF696" s="4"/>
      <c r="AG696" s="4"/>
    </row>
    <row r="697" spans="5:33" ht="12.75">
      <c r="E697" s="148"/>
      <c r="F697" s="148"/>
      <c r="G697" s="148"/>
      <c r="H697" s="148"/>
      <c r="AF697" s="4"/>
      <c r="AG697" s="4"/>
    </row>
    <row r="698" spans="5:33" ht="12.75">
      <c r="E698" s="148"/>
      <c r="F698" s="148"/>
      <c r="G698" s="148"/>
      <c r="H698" s="148"/>
      <c r="AF698" s="4"/>
      <c r="AG698" s="4"/>
    </row>
    <row r="699" spans="5:33" ht="12.75">
      <c r="E699" s="148"/>
      <c r="F699" s="148"/>
      <c r="G699" s="148"/>
      <c r="H699" s="148"/>
      <c r="AF699" s="4"/>
      <c r="AG699" s="4"/>
    </row>
    <row r="700" spans="5:33" ht="12.75">
      <c r="E700" s="148"/>
      <c r="F700" s="148"/>
      <c r="G700" s="148"/>
      <c r="H700" s="148"/>
      <c r="AF700" s="4"/>
      <c r="AG700" s="4"/>
    </row>
    <row r="701" spans="5:33" ht="12.75">
      <c r="E701" s="148"/>
      <c r="F701" s="148"/>
      <c r="G701" s="148"/>
      <c r="H701" s="148"/>
      <c r="AF701" s="4"/>
      <c r="AG701" s="4"/>
    </row>
    <row r="702" spans="5:33" ht="12.75">
      <c r="E702" s="148"/>
      <c r="F702" s="148"/>
      <c r="G702" s="148"/>
      <c r="H702" s="148"/>
      <c r="AF702" s="4"/>
      <c r="AG702" s="4"/>
    </row>
    <row r="703" spans="5:33" ht="12.75">
      <c r="E703" s="148"/>
      <c r="F703" s="148"/>
      <c r="G703" s="148"/>
      <c r="H703" s="148"/>
      <c r="AF703" s="4"/>
      <c r="AG703" s="4"/>
    </row>
    <row r="704" spans="5:33" ht="12.75">
      <c r="E704" s="148"/>
      <c r="F704" s="148"/>
      <c r="G704" s="148"/>
      <c r="H704" s="148"/>
      <c r="AF704" s="4"/>
      <c r="AG704" s="4"/>
    </row>
    <row r="705" spans="5:33" ht="12.75">
      <c r="E705" s="148"/>
      <c r="F705" s="148"/>
      <c r="G705" s="148"/>
      <c r="H705" s="148"/>
      <c r="AF705" s="4"/>
      <c r="AG705" s="4"/>
    </row>
    <row r="706" spans="5:33" ht="12.75">
      <c r="E706" s="148"/>
      <c r="F706" s="148"/>
      <c r="G706" s="148"/>
      <c r="H706" s="148"/>
      <c r="AF706" s="4"/>
      <c r="AG706" s="4"/>
    </row>
    <row r="707" spans="5:33" ht="12.75">
      <c r="E707" s="148"/>
      <c r="F707" s="148"/>
      <c r="G707" s="148"/>
      <c r="H707" s="148"/>
      <c r="AF707" s="4"/>
      <c r="AG707" s="4"/>
    </row>
    <row r="708" spans="5:33" ht="12.75">
      <c r="E708" s="148"/>
      <c r="F708" s="148"/>
      <c r="G708" s="148"/>
      <c r="H708" s="148"/>
      <c r="AF708" s="4"/>
      <c r="AG708" s="4"/>
    </row>
    <row r="709" spans="5:33" ht="12.75">
      <c r="E709" s="148"/>
      <c r="F709" s="148"/>
      <c r="G709" s="148"/>
      <c r="H709" s="148"/>
      <c r="AF709" s="4"/>
      <c r="AG709" s="4"/>
    </row>
    <row r="710" spans="5:33" ht="12.75">
      <c r="E710" s="148"/>
      <c r="F710" s="148"/>
      <c r="G710" s="148"/>
      <c r="H710" s="148"/>
      <c r="AF710" s="4"/>
      <c r="AG710" s="4"/>
    </row>
    <row r="711" spans="5:33" ht="12.75">
      <c r="E711" s="148"/>
      <c r="F711" s="148"/>
      <c r="G711" s="148"/>
      <c r="H711" s="148"/>
      <c r="AF711" s="4"/>
      <c r="AG711" s="4"/>
    </row>
    <row r="712" spans="5:33" ht="12.75">
      <c r="E712" s="148"/>
      <c r="F712" s="148"/>
      <c r="G712" s="148"/>
      <c r="H712" s="148"/>
      <c r="AF712" s="4"/>
      <c r="AG712" s="4"/>
    </row>
    <row r="713" spans="5:33" ht="12.75">
      <c r="E713" s="148"/>
      <c r="F713" s="148"/>
      <c r="G713" s="148"/>
      <c r="H713" s="148"/>
      <c r="AF713" s="4"/>
      <c r="AG713" s="4"/>
    </row>
    <row r="714" spans="5:33" ht="12.75">
      <c r="E714" s="148"/>
      <c r="F714" s="148"/>
      <c r="G714" s="148"/>
      <c r="H714" s="148"/>
      <c r="AF714" s="4"/>
      <c r="AG714" s="4"/>
    </row>
    <row r="715" spans="5:33" ht="12.75">
      <c r="E715" s="148"/>
      <c r="F715" s="148"/>
      <c r="G715" s="148"/>
      <c r="H715" s="148"/>
      <c r="AF715" s="4"/>
      <c r="AG715" s="4"/>
    </row>
    <row r="716" spans="5:33" ht="12.75">
      <c r="E716" s="148"/>
      <c r="F716" s="148"/>
      <c r="G716" s="148"/>
      <c r="H716" s="148"/>
      <c r="AF716" s="4"/>
      <c r="AG716" s="4"/>
    </row>
    <row r="717" spans="5:33" ht="12.75">
      <c r="E717" s="148"/>
      <c r="F717" s="148"/>
      <c r="G717" s="148"/>
      <c r="H717" s="148"/>
      <c r="AF717" s="4"/>
      <c r="AG717" s="4"/>
    </row>
    <row r="718" spans="5:33" ht="12.75">
      <c r="E718" s="148"/>
      <c r="F718" s="148"/>
      <c r="G718" s="148"/>
      <c r="H718" s="148"/>
      <c r="AF718" s="4"/>
      <c r="AG718" s="4"/>
    </row>
    <row r="719" spans="5:33" ht="12.75">
      <c r="E719" s="148"/>
      <c r="F719" s="148"/>
      <c r="G719" s="148"/>
      <c r="H719" s="148"/>
      <c r="AF719" s="4"/>
      <c r="AG719" s="4"/>
    </row>
    <row r="720" spans="5:33" ht="12.75">
      <c r="E720" s="148"/>
      <c r="F720" s="148"/>
      <c r="G720" s="148"/>
      <c r="H720" s="148"/>
      <c r="AF720" s="4"/>
      <c r="AG720" s="4"/>
    </row>
    <row r="721" spans="5:33" ht="12.75">
      <c r="E721" s="148"/>
      <c r="F721" s="148"/>
      <c r="G721" s="148"/>
      <c r="H721" s="148"/>
      <c r="AF721" s="4"/>
      <c r="AG721" s="4"/>
    </row>
    <row r="722" spans="5:33" ht="12.75">
      <c r="E722" s="148"/>
      <c r="F722" s="148"/>
      <c r="G722" s="148"/>
      <c r="H722" s="148"/>
      <c r="AF722" s="4"/>
      <c r="AG722" s="4"/>
    </row>
    <row r="723" spans="5:33" ht="12.75">
      <c r="E723" s="148"/>
      <c r="F723" s="148"/>
      <c r="G723" s="148"/>
      <c r="H723" s="148"/>
      <c r="AF723" s="4"/>
      <c r="AG723" s="4"/>
    </row>
    <row r="724" spans="5:33" ht="12.75">
      <c r="E724" s="148"/>
      <c r="F724" s="148"/>
      <c r="G724" s="148"/>
      <c r="H724" s="148"/>
      <c r="AF724" s="4"/>
      <c r="AG724" s="4"/>
    </row>
    <row r="725" spans="5:33" ht="12.75">
      <c r="E725" s="148"/>
      <c r="F725" s="148"/>
      <c r="G725" s="148"/>
      <c r="H725" s="148"/>
      <c r="AF725" s="4"/>
      <c r="AG725" s="4"/>
    </row>
    <row r="726" spans="5:33" ht="12.75">
      <c r="E726" s="148"/>
      <c r="F726" s="148"/>
      <c r="G726" s="148"/>
      <c r="H726" s="148"/>
      <c r="AF726" s="4"/>
      <c r="AG726" s="4"/>
    </row>
    <row r="727" spans="5:33" ht="12.75">
      <c r="E727" s="148"/>
      <c r="F727" s="148"/>
      <c r="G727" s="148"/>
      <c r="H727" s="148"/>
      <c r="AF727" s="4"/>
      <c r="AG727" s="4"/>
    </row>
    <row r="728" spans="5:33" ht="12.75">
      <c r="E728" s="148"/>
      <c r="F728" s="148"/>
      <c r="G728" s="148"/>
      <c r="H728" s="148"/>
      <c r="AF728" s="4"/>
      <c r="AG728" s="4"/>
    </row>
    <row r="729" spans="5:33" ht="12.75">
      <c r="E729" s="148"/>
      <c r="F729" s="148"/>
      <c r="G729" s="148"/>
      <c r="H729" s="148"/>
      <c r="AF729" s="4"/>
      <c r="AG729" s="4"/>
    </row>
    <row r="730" spans="5:33" ht="12.75">
      <c r="E730" s="148"/>
      <c r="F730" s="148"/>
      <c r="G730" s="148"/>
      <c r="H730" s="148"/>
      <c r="AF730" s="4"/>
      <c r="AG730" s="4"/>
    </row>
    <row r="731" spans="5:33" ht="12.75">
      <c r="E731" s="148"/>
      <c r="F731" s="148"/>
      <c r="G731" s="148"/>
      <c r="H731" s="148"/>
      <c r="AF731" s="4"/>
      <c r="AG731" s="4"/>
    </row>
    <row r="732" spans="5:33" ht="12.75">
      <c r="E732" s="148"/>
      <c r="F732" s="148"/>
      <c r="G732" s="148"/>
      <c r="H732" s="148"/>
      <c r="AF732" s="4"/>
      <c r="AG732" s="4"/>
    </row>
    <row r="733" spans="5:33" ht="12.75">
      <c r="E733" s="148"/>
      <c r="F733" s="148"/>
      <c r="G733" s="148"/>
      <c r="H733" s="148"/>
      <c r="AF733" s="4"/>
      <c r="AG733" s="4"/>
    </row>
    <row r="734" spans="5:33" ht="12.75">
      <c r="E734" s="148"/>
      <c r="F734" s="148"/>
      <c r="G734" s="148"/>
      <c r="H734" s="148"/>
      <c r="AF734" s="4"/>
      <c r="AG734" s="4"/>
    </row>
    <row r="735" spans="5:33" ht="12.75">
      <c r="E735" s="148"/>
      <c r="F735" s="148"/>
      <c r="G735" s="148"/>
      <c r="H735" s="148"/>
      <c r="AF735" s="4"/>
      <c r="AG735" s="4"/>
    </row>
    <row r="736" spans="5:33" ht="12.75">
      <c r="E736" s="148"/>
      <c r="F736" s="148"/>
      <c r="G736" s="148"/>
      <c r="H736" s="148"/>
      <c r="AF736" s="4"/>
      <c r="AG736" s="4"/>
    </row>
    <row r="737" spans="5:33" ht="12.75">
      <c r="E737" s="148"/>
      <c r="F737" s="148"/>
      <c r="G737" s="148"/>
      <c r="H737" s="148"/>
      <c r="AF737" s="4"/>
      <c r="AG737" s="4"/>
    </row>
    <row r="738" spans="5:33" ht="12.75">
      <c r="E738" s="148"/>
      <c r="F738" s="148"/>
      <c r="G738" s="148"/>
      <c r="H738" s="148"/>
      <c r="AF738" s="4"/>
      <c r="AG738" s="4"/>
    </row>
    <row r="739" spans="5:33" ht="12.75">
      <c r="E739" s="148"/>
      <c r="F739" s="148"/>
      <c r="G739" s="148"/>
      <c r="H739" s="148"/>
      <c r="AF739" s="4"/>
      <c r="AG739" s="4"/>
    </row>
    <row r="740" spans="5:33" ht="12.75">
      <c r="E740" s="148"/>
      <c r="F740" s="148"/>
      <c r="G740" s="148"/>
      <c r="H740" s="148"/>
      <c r="AF740" s="4"/>
      <c r="AG740" s="4"/>
    </row>
    <row r="741" spans="5:33" ht="12.75">
      <c r="E741" s="148"/>
      <c r="F741" s="148"/>
      <c r="G741" s="148"/>
      <c r="H741" s="148"/>
      <c r="AF741" s="4"/>
      <c r="AG741" s="4"/>
    </row>
    <row r="742" spans="5:33" ht="12.75">
      <c r="E742" s="148"/>
      <c r="F742" s="148"/>
      <c r="G742" s="148"/>
      <c r="H742" s="148"/>
      <c r="AF742" s="4"/>
      <c r="AG742" s="4"/>
    </row>
    <row r="743" spans="5:33" ht="12.75">
      <c r="E743" s="148"/>
      <c r="F743" s="148"/>
      <c r="G743" s="148"/>
      <c r="H743" s="148"/>
      <c r="AF743" s="4"/>
      <c r="AG743" s="4"/>
    </row>
    <row r="744" spans="5:33" ht="12.75">
      <c r="E744" s="148"/>
      <c r="F744" s="148"/>
      <c r="G744" s="148"/>
      <c r="H744" s="148"/>
      <c r="AF744" s="4"/>
      <c r="AG744" s="4"/>
    </row>
    <row r="745" spans="5:33" ht="12.75">
      <c r="E745" s="148"/>
      <c r="F745" s="148"/>
      <c r="G745" s="148"/>
      <c r="H745" s="148"/>
      <c r="AF745" s="4"/>
      <c r="AG745" s="4"/>
    </row>
    <row r="746" spans="5:33" ht="12.75">
      <c r="E746" s="148"/>
      <c r="F746" s="148"/>
      <c r="G746" s="148"/>
      <c r="H746" s="148"/>
      <c r="AF746" s="4"/>
      <c r="AG746" s="4"/>
    </row>
    <row r="747" spans="5:33" ht="12.75">
      <c r="E747" s="148"/>
      <c r="F747" s="148"/>
      <c r="G747" s="148"/>
      <c r="H747" s="148"/>
      <c r="AF747" s="4"/>
      <c r="AG747" s="4"/>
    </row>
    <row r="748" spans="5:33" ht="12.75">
      <c r="E748" s="148"/>
      <c r="F748" s="148"/>
      <c r="G748" s="148"/>
      <c r="H748" s="148"/>
      <c r="AF748" s="4"/>
      <c r="AG748" s="4"/>
    </row>
    <row r="749" spans="5:33" ht="12.75">
      <c r="E749" s="148"/>
      <c r="F749" s="148"/>
      <c r="G749" s="148"/>
      <c r="H749" s="148"/>
      <c r="AF749" s="4"/>
      <c r="AG749" s="4"/>
    </row>
    <row r="750" spans="5:33" ht="12.75">
      <c r="E750" s="148"/>
      <c r="F750" s="148"/>
      <c r="G750" s="148"/>
      <c r="H750" s="148"/>
      <c r="AF750" s="4"/>
      <c r="AG750" s="4"/>
    </row>
    <row r="751" spans="5:33" ht="12.75">
      <c r="E751" s="148"/>
      <c r="F751" s="148"/>
      <c r="G751" s="148"/>
      <c r="H751" s="148"/>
      <c r="AF751" s="4"/>
      <c r="AG751" s="4"/>
    </row>
    <row r="752" spans="5:33" ht="12.75">
      <c r="E752" s="148"/>
      <c r="F752" s="148"/>
      <c r="G752" s="148"/>
      <c r="H752" s="148"/>
      <c r="AF752" s="4"/>
      <c r="AG752" s="4"/>
    </row>
    <row r="753" spans="5:33" ht="12.75">
      <c r="E753" s="148"/>
      <c r="F753" s="148"/>
      <c r="G753" s="148"/>
      <c r="H753" s="148"/>
      <c r="AF753" s="4"/>
      <c r="AG753" s="4"/>
    </row>
    <row r="754" spans="5:33" ht="12.75">
      <c r="E754" s="148"/>
      <c r="F754" s="148"/>
      <c r="G754" s="148"/>
      <c r="H754" s="148"/>
      <c r="AF754" s="4"/>
      <c r="AG754" s="4"/>
    </row>
    <row r="755" spans="5:33" ht="12.75">
      <c r="E755" s="148"/>
      <c r="F755" s="148"/>
      <c r="G755" s="148"/>
      <c r="H755" s="148"/>
      <c r="AF755" s="4"/>
      <c r="AG755" s="4"/>
    </row>
    <row r="756" spans="5:33" ht="12.75">
      <c r="E756" s="148"/>
      <c r="F756" s="148"/>
      <c r="G756" s="148"/>
      <c r="H756" s="148"/>
      <c r="AF756" s="4"/>
      <c r="AG756" s="4"/>
    </row>
    <row r="757" spans="5:33" ht="12.75">
      <c r="E757" s="148"/>
      <c r="F757" s="148"/>
      <c r="G757" s="148"/>
      <c r="H757" s="148"/>
      <c r="AF757" s="4"/>
      <c r="AG757" s="4"/>
    </row>
    <row r="758" spans="5:33" ht="12.75">
      <c r="E758" s="148"/>
      <c r="F758" s="148"/>
      <c r="G758" s="148"/>
      <c r="H758" s="148"/>
      <c r="AF758" s="4"/>
      <c r="AG758" s="4"/>
    </row>
    <row r="759" spans="5:33" ht="12.75">
      <c r="E759" s="148"/>
      <c r="F759" s="148"/>
      <c r="G759" s="148"/>
      <c r="H759" s="148"/>
      <c r="AF759" s="4"/>
      <c r="AG759" s="4"/>
    </row>
    <row r="760" spans="5:33" ht="12.75">
      <c r="E760" s="148"/>
      <c r="F760" s="148"/>
      <c r="G760" s="148"/>
      <c r="H760" s="148"/>
      <c r="AF760" s="4"/>
      <c r="AG760" s="4"/>
    </row>
    <row r="761" spans="5:33" ht="12.75">
      <c r="E761" s="148"/>
      <c r="F761" s="148"/>
      <c r="G761" s="148"/>
      <c r="H761" s="148"/>
      <c r="AF761" s="4"/>
      <c r="AG761" s="4"/>
    </row>
    <row r="762" spans="5:33" ht="12.75">
      <c r="E762" s="148"/>
      <c r="F762" s="148"/>
      <c r="G762" s="148"/>
      <c r="H762" s="148"/>
      <c r="AF762" s="4"/>
      <c r="AG762" s="4"/>
    </row>
    <row r="763" spans="5:33" ht="12.75">
      <c r="E763" s="148"/>
      <c r="F763" s="148"/>
      <c r="G763" s="148"/>
      <c r="H763" s="148"/>
      <c r="AF763" s="4"/>
      <c r="AG763" s="4"/>
    </row>
    <row r="764" spans="5:33" ht="12.75">
      <c r="E764" s="148"/>
      <c r="F764" s="148"/>
      <c r="G764" s="148"/>
      <c r="H764" s="148"/>
      <c r="AF764" s="4"/>
      <c r="AG764" s="4"/>
    </row>
    <row r="765" spans="5:33" ht="12.75">
      <c r="E765" s="148"/>
      <c r="F765" s="148"/>
      <c r="G765" s="148"/>
      <c r="H765" s="148"/>
      <c r="AF765" s="4"/>
      <c r="AG765" s="4"/>
    </row>
    <row r="766" spans="5:33" ht="12.75">
      <c r="E766" s="148"/>
      <c r="F766" s="148"/>
      <c r="G766" s="148"/>
      <c r="H766" s="148"/>
      <c r="AF766" s="4"/>
      <c r="AG766" s="4"/>
    </row>
    <row r="767" spans="5:33" ht="12.75">
      <c r="E767" s="148"/>
      <c r="F767" s="148"/>
      <c r="G767" s="148"/>
      <c r="H767" s="148"/>
      <c r="AF767" s="4"/>
      <c r="AG767" s="4"/>
    </row>
    <row r="768" spans="5:33" ht="12.75">
      <c r="E768" s="148"/>
      <c r="F768" s="148"/>
      <c r="G768" s="148"/>
      <c r="H768" s="148"/>
      <c r="AF768" s="4"/>
      <c r="AG768" s="4"/>
    </row>
    <row r="769" spans="5:33" ht="12.75">
      <c r="E769" s="148"/>
      <c r="F769" s="148"/>
      <c r="G769" s="148"/>
      <c r="H769" s="148"/>
      <c r="AF769" s="4"/>
      <c r="AG769" s="4"/>
    </row>
    <row r="770" spans="5:33" ht="12.75">
      <c r="E770" s="148"/>
      <c r="F770" s="148"/>
      <c r="G770" s="148"/>
      <c r="H770" s="148"/>
      <c r="AF770" s="4"/>
      <c r="AG770" s="4"/>
    </row>
    <row r="771" spans="5:33" ht="12.75">
      <c r="E771" s="148"/>
      <c r="F771" s="148"/>
      <c r="G771" s="148"/>
      <c r="H771" s="148"/>
      <c r="AF771" s="4"/>
      <c r="AG771" s="4"/>
    </row>
    <row r="772" spans="5:33" ht="12.75">
      <c r="E772" s="148"/>
      <c r="F772" s="148"/>
      <c r="G772" s="148"/>
      <c r="H772" s="148"/>
      <c r="AF772" s="4"/>
      <c r="AG772" s="4"/>
    </row>
    <row r="773" spans="5:33" ht="12.75">
      <c r="E773" s="148"/>
      <c r="F773" s="148"/>
      <c r="G773" s="148"/>
      <c r="H773" s="148"/>
      <c r="AF773" s="4"/>
      <c r="AG773" s="4"/>
    </row>
    <row r="774" spans="5:33" ht="12.75">
      <c r="E774" s="148"/>
      <c r="F774" s="148"/>
      <c r="G774" s="148"/>
      <c r="H774" s="148"/>
      <c r="AF774" s="4"/>
      <c r="AG774" s="4"/>
    </row>
    <row r="775" spans="5:33" ht="12.75">
      <c r="E775" s="148"/>
      <c r="F775" s="148"/>
      <c r="G775" s="148"/>
      <c r="H775" s="148"/>
      <c r="AF775" s="4"/>
      <c r="AG775" s="4"/>
    </row>
    <row r="776" spans="5:33" ht="12.75">
      <c r="E776" s="148"/>
      <c r="F776" s="148"/>
      <c r="G776" s="148"/>
      <c r="H776" s="148"/>
      <c r="AF776" s="4"/>
      <c r="AG776" s="4"/>
    </row>
    <row r="777" spans="5:33" ht="12.75">
      <c r="E777" s="148"/>
      <c r="F777" s="148"/>
      <c r="G777" s="148"/>
      <c r="H777" s="148"/>
      <c r="AF777" s="4"/>
      <c r="AG777" s="4"/>
    </row>
    <row r="778" spans="5:33" ht="12.75">
      <c r="E778" s="148"/>
      <c r="F778" s="148"/>
      <c r="G778" s="148"/>
      <c r="H778" s="148"/>
      <c r="AF778" s="4"/>
      <c r="AG778" s="4"/>
    </row>
    <row r="779" spans="5:33" ht="12.75">
      <c r="E779" s="148"/>
      <c r="F779" s="148"/>
      <c r="G779" s="148"/>
      <c r="H779" s="148"/>
      <c r="AF779" s="4"/>
      <c r="AG779" s="4"/>
    </row>
    <row r="780" spans="5:33" ht="12.75">
      <c r="E780" s="148"/>
      <c r="F780" s="148"/>
      <c r="G780" s="148"/>
      <c r="H780" s="148"/>
      <c r="AF780" s="4"/>
      <c r="AG780" s="4"/>
    </row>
    <row r="781" spans="5:33" ht="12.75">
      <c r="E781" s="148"/>
      <c r="F781" s="148"/>
      <c r="G781" s="148"/>
      <c r="H781" s="148"/>
      <c r="AF781" s="4"/>
      <c r="AG781" s="4"/>
    </row>
    <row r="782" spans="5:33" ht="12.75">
      <c r="E782" s="148"/>
      <c r="F782" s="148"/>
      <c r="G782" s="148"/>
      <c r="H782" s="148"/>
      <c r="AF782" s="4"/>
      <c r="AG782" s="4"/>
    </row>
    <row r="783" spans="5:33" ht="12.75">
      <c r="E783" s="148"/>
      <c r="F783" s="148"/>
      <c r="G783" s="148"/>
      <c r="H783" s="148"/>
      <c r="AF783" s="4"/>
      <c r="AG783" s="4"/>
    </row>
    <row r="784" spans="5:33" ht="12.75">
      <c r="E784" s="148"/>
      <c r="F784" s="148"/>
      <c r="G784" s="148"/>
      <c r="H784" s="148"/>
      <c r="AF784" s="4"/>
      <c r="AG784" s="4"/>
    </row>
    <row r="785" spans="5:33" ht="12.75">
      <c r="E785" s="148"/>
      <c r="F785" s="148"/>
      <c r="G785" s="148"/>
      <c r="H785" s="148"/>
      <c r="AF785" s="4"/>
      <c r="AG785" s="4"/>
    </row>
    <row r="786" spans="5:33" ht="12.75">
      <c r="E786" s="148"/>
      <c r="F786" s="148"/>
      <c r="G786" s="148"/>
      <c r="H786" s="148"/>
      <c r="AF786" s="4"/>
      <c r="AG786" s="4"/>
    </row>
    <row r="787" spans="5:33" ht="12.75">
      <c r="E787" s="148"/>
      <c r="F787" s="148"/>
      <c r="G787" s="148"/>
      <c r="H787" s="148"/>
      <c r="AF787" s="4"/>
      <c r="AG787" s="4"/>
    </row>
    <row r="788" spans="5:33" ht="12.75">
      <c r="E788" s="148"/>
      <c r="F788" s="148"/>
      <c r="G788" s="148"/>
      <c r="H788" s="148"/>
      <c r="AF788" s="4"/>
      <c r="AG788" s="4"/>
    </row>
    <row r="789" spans="5:33" ht="12.75">
      <c r="E789" s="148"/>
      <c r="F789" s="148"/>
      <c r="G789" s="148"/>
      <c r="H789" s="148"/>
      <c r="AF789" s="4"/>
      <c r="AG789" s="4"/>
    </row>
    <row r="790" spans="5:33" ht="12.75">
      <c r="E790" s="148"/>
      <c r="F790" s="148"/>
      <c r="G790" s="148"/>
      <c r="H790" s="148"/>
      <c r="AF790" s="4"/>
      <c r="AG790" s="4"/>
    </row>
    <row r="791" spans="5:33" ht="12.75">
      <c r="E791" s="148"/>
      <c r="F791" s="148"/>
      <c r="G791" s="148"/>
      <c r="H791" s="148"/>
      <c r="AF791" s="4"/>
      <c r="AG791" s="4"/>
    </row>
    <row r="792" spans="5:33" ht="12.75">
      <c r="E792" s="148"/>
      <c r="F792" s="148"/>
      <c r="G792" s="148"/>
      <c r="H792" s="148"/>
      <c r="AF792" s="4"/>
      <c r="AG792" s="4"/>
    </row>
    <row r="793" spans="5:33" ht="12.75">
      <c r="E793" s="148"/>
      <c r="F793" s="148"/>
      <c r="G793" s="148"/>
      <c r="H793" s="148"/>
      <c r="AF793" s="4"/>
      <c r="AG793" s="4"/>
    </row>
    <row r="794" spans="5:33" ht="12.75">
      <c r="E794" s="148"/>
      <c r="F794" s="148"/>
      <c r="G794" s="148"/>
      <c r="H794" s="148"/>
      <c r="AF794" s="4"/>
      <c r="AG794" s="4"/>
    </row>
    <row r="795" spans="5:33" ht="12.75">
      <c r="E795" s="148"/>
      <c r="F795" s="148"/>
      <c r="G795" s="148"/>
      <c r="H795" s="148"/>
      <c r="AF795" s="4"/>
      <c r="AG795" s="4"/>
    </row>
    <row r="796" spans="5:33" ht="12.75">
      <c r="E796" s="148"/>
      <c r="F796" s="148"/>
      <c r="G796" s="148"/>
      <c r="H796" s="148"/>
      <c r="AF796" s="4"/>
      <c r="AG796" s="4"/>
    </row>
    <row r="797" spans="5:33" ht="12.75">
      <c r="E797" s="148"/>
      <c r="F797" s="148"/>
      <c r="G797" s="148"/>
      <c r="H797" s="148"/>
      <c r="AF797" s="4"/>
      <c r="AG797" s="4"/>
    </row>
    <row r="798" spans="5:33" ht="12.75">
      <c r="E798" s="148"/>
      <c r="F798" s="148"/>
      <c r="G798" s="148"/>
      <c r="H798" s="148"/>
      <c r="AF798" s="4"/>
      <c r="AG798" s="4"/>
    </row>
    <row r="799" spans="5:33" ht="12.75">
      <c r="E799" s="148"/>
      <c r="F799" s="148"/>
      <c r="G799" s="148"/>
      <c r="H799" s="148"/>
      <c r="AF799" s="4"/>
      <c r="AG799" s="4"/>
    </row>
    <row r="800" spans="5:33" ht="12.75">
      <c r="E800" s="148"/>
      <c r="F800" s="148"/>
      <c r="G800" s="148"/>
      <c r="H800" s="148"/>
      <c r="AF800" s="4"/>
      <c r="AG800" s="4"/>
    </row>
    <row r="801" spans="5:33" ht="12.75">
      <c r="E801" s="148"/>
      <c r="F801" s="148"/>
      <c r="G801" s="148"/>
      <c r="H801" s="148"/>
      <c r="AF801" s="4"/>
      <c r="AG801" s="4"/>
    </row>
    <row r="802" spans="5:33" ht="12.75">
      <c r="E802" s="148"/>
      <c r="F802" s="148"/>
      <c r="G802" s="148"/>
      <c r="H802" s="148"/>
      <c r="AF802" s="4"/>
      <c r="AG802" s="4"/>
    </row>
    <row r="803" spans="5:33" ht="12.75">
      <c r="E803" s="148"/>
      <c r="F803" s="148"/>
      <c r="G803" s="148"/>
      <c r="H803" s="148"/>
      <c r="AF803" s="4"/>
      <c r="AG803" s="4"/>
    </row>
    <row r="804" spans="5:33" ht="12.75">
      <c r="E804" s="148"/>
      <c r="F804" s="148"/>
      <c r="G804" s="148"/>
      <c r="H804" s="148"/>
      <c r="AF804" s="4"/>
      <c r="AG804" s="4"/>
    </row>
    <row r="805" spans="5:33" ht="12.75">
      <c r="E805" s="148"/>
      <c r="F805" s="148"/>
      <c r="G805" s="148"/>
      <c r="H805" s="148"/>
      <c r="AF805" s="4"/>
      <c r="AG805" s="4"/>
    </row>
    <row r="806" spans="5:33" ht="12.75">
      <c r="E806" s="148"/>
      <c r="F806" s="148"/>
      <c r="G806" s="148"/>
      <c r="H806" s="148"/>
      <c r="AF806" s="4"/>
      <c r="AG806" s="4"/>
    </row>
    <row r="807" spans="5:33" ht="12.75">
      <c r="E807" s="148"/>
      <c r="F807" s="148"/>
      <c r="G807" s="148"/>
      <c r="H807" s="148"/>
      <c r="AF807" s="4"/>
      <c r="AG807" s="4"/>
    </row>
    <row r="808" spans="5:33" ht="12.75">
      <c r="E808" s="148"/>
      <c r="F808" s="148"/>
      <c r="G808" s="148"/>
      <c r="H808" s="148"/>
      <c r="AF808" s="4"/>
      <c r="AG808" s="4"/>
    </row>
    <row r="809" spans="5:33" ht="12.75">
      <c r="E809" s="148"/>
      <c r="F809" s="148"/>
      <c r="G809" s="148"/>
      <c r="H809" s="148"/>
      <c r="AF809" s="4"/>
      <c r="AG809" s="4"/>
    </row>
    <row r="810" spans="5:33" ht="12.75">
      <c r="E810" s="148"/>
      <c r="F810" s="148"/>
      <c r="G810" s="148"/>
      <c r="H810" s="148"/>
      <c r="AF810" s="4"/>
      <c r="AG810" s="4"/>
    </row>
    <row r="811" spans="5:33" ht="12.75">
      <c r="E811" s="148"/>
      <c r="F811" s="148"/>
      <c r="G811" s="148"/>
      <c r="H811" s="148"/>
      <c r="AF811" s="4"/>
      <c r="AG811" s="4"/>
    </row>
    <row r="812" spans="5:33" ht="12.75">
      <c r="E812" s="148"/>
      <c r="F812" s="148"/>
      <c r="G812" s="148"/>
      <c r="H812" s="148"/>
      <c r="AF812" s="4"/>
      <c r="AG812" s="4"/>
    </row>
    <row r="813" spans="5:33" ht="12.75">
      <c r="E813" s="148"/>
      <c r="F813" s="148"/>
      <c r="G813" s="148"/>
      <c r="H813" s="148"/>
      <c r="AF813" s="4"/>
      <c r="AG813" s="4"/>
    </row>
    <row r="814" spans="5:33" ht="12.75">
      <c r="E814" s="148"/>
      <c r="F814" s="148"/>
      <c r="G814" s="148"/>
      <c r="H814" s="148"/>
      <c r="AF814" s="4"/>
      <c r="AG814" s="4"/>
    </row>
    <row r="815" spans="5:33" ht="12.75">
      <c r="E815" s="148"/>
      <c r="F815" s="148"/>
      <c r="G815" s="148"/>
      <c r="H815" s="148"/>
      <c r="AF815" s="4"/>
      <c r="AG815" s="4"/>
    </row>
    <row r="816" spans="5:33" ht="12.75">
      <c r="E816" s="148"/>
      <c r="F816" s="148"/>
      <c r="G816" s="148"/>
      <c r="H816" s="148"/>
      <c r="AF816" s="4"/>
      <c r="AG816" s="4"/>
    </row>
    <row r="817" spans="5:33" ht="12.75">
      <c r="E817" s="148"/>
      <c r="F817" s="148"/>
      <c r="G817" s="148"/>
      <c r="H817" s="148"/>
      <c r="AF817" s="4"/>
      <c r="AG817" s="4"/>
    </row>
    <row r="818" spans="5:33" ht="12.75">
      <c r="E818" s="148"/>
      <c r="F818" s="148"/>
      <c r="G818" s="148"/>
      <c r="H818" s="148"/>
      <c r="AF818" s="4"/>
      <c r="AG818" s="4"/>
    </row>
    <row r="819" spans="5:33" ht="12.75">
      <c r="E819" s="148"/>
      <c r="F819" s="148"/>
      <c r="G819" s="148"/>
      <c r="H819" s="148"/>
      <c r="AF819" s="4"/>
      <c r="AG819" s="4"/>
    </row>
    <row r="820" spans="5:33" ht="12.75">
      <c r="E820" s="148"/>
      <c r="F820" s="148"/>
      <c r="G820" s="148"/>
      <c r="H820" s="148"/>
      <c r="AF820" s="4"/>
      <c r="AG820" s="4"/>
    </row>
    <row r="821" spans="5:33" ht="12.75">
      <c r="E821" s="148"/>
      <c r="F821" s="148"/>
      <c r="G821" s="148"/>
      <c r="H821" s="148"/>
      <c r="AF821" s="4"/>
      <c r="AG821" s="4"/>
    </row>
    <row r="822" spans="5:33" ht="12.75">
      <c r="E822" s="148"/>
      <c r="F822" s="148"/>
      <c r="G822" s="148"/>
      <c r="H822" s="148"/>
      <c r="AF822" s="4"/>
      <c r="AG822" s="4"/>
    </row>
    <row r="823" spans="5:33" ht="12.75">
      <c r="E823" s="148"/>
      <c r="F823" s="148"/>
      <c r="G823" s="148"/>
      <c r="H823" s="148"/>
      <c r="AF823" s="4"/>
      <c r="AG823" s="4"/>
    </row>
    <row r="824" spans="5:33" ht="12.75">
      <c r="E824" s="148"/>
      <c r="F824" s="148"/>
      <c r="G824" s="148"/>
      <c r="H824" s="148"/>
      <c r="AF824" s="4"/>
      <c r="AG824" s="4"/>
    </row>
    <row r="825" spans="5:33" ht="12.75">
      <c r="E825" s="148"/>
      <c r="F825" s="148"/>
      <c r="G825" s="148"/>
      <c r="H825" s="148"/>
      <c r="AF825" s="4"/>
      <c r="AG825" s="4"/>
    </row>
    <row r="826" spans="5:33" ht="12.75">
      <c r="E826" s="148"/>
      <c r="F826" s="148"/>
      <c r="G826" s="148"/>
      <c r="H826" s="148"/>
      <c r="AF826" s="4"/>
      <c r="AG826" s="4"/>
    </row>
    <row r="827" spans="5:33" ht="12.75">
      <c r="E827" s="148"/>
      <c r="F827" s="148"/>
      <c r="G827" s="148"/>
      <c r="H827" s="148"/>
      <c r="AF827" s="4"/>
      <c r="AG827" s="4"/>
    </row>
    <row r="828" spans="5:33" ht="12.75">
      <c r="E828" s="148"/>
      <c r="F828" s="148"/>
      <c r="G828" s="148"/>
      <c r="H828" s="148"/>
      <c r="AF828" s="4"/>
      <c r="AG828" s="4"/>
    </row>
    <row r="829" spans="5:33" ht="12.75">
      <c r="E829" s="148"/>
      <c r="F829" s="148"/>
      <c r="G829" s="148"/>
      <c r="H829" s="148"/>
      <c r="AF829" s="4"/>
      <c r="AG829" s="4"/>
    </row>
    <row r="830" spans="5:33" ht="12.75">
      <c r="E830" s="148"/>
      <c r="F830" s="148"/>
      <c r="G830" s="148"/>
      <c r="H830" s="148"/>
      <c r="AF830" s="4"/>
      <c r="AG830" s="4"/>
    </row>
    <row r="831" spans="5:33" ht="12.75">
      <c r="E831" s="148"/>
      <c r="F831" s="148"/>
      <c r="G831" s="148"/>
      <c r="H831" s="148"/>
      <c r="AF831" s="4"/>
      <c r="AG831" s="4"/>
    </row>
    <row r="832" spans="5:33" ht="12.75">
      <c r="E832" s="148"/>
      <c r="F832" s="148"/>
      <c r="G832" s="148"/>
      <c r="H832" s="148"/>
      <c r="AF832" s="4"/>
      <c r="AG832" s="4"/>
    </row>
    <row r="833" spans="5:33" ht="12.75">
      <c r="E833" s="148"/>
      <c r="F833" s="148"/>
      <c r="G833" s="148"/>
      <c r="H833" s="148"/>
      <c r="AF833" s="4"/>
      <c r="AG833" s="4"/>
    </row>
    <row r="834" spans="5:33" ht="12.75">
      <c r="E834" s="148"/>
      <c r="F834" s="148"/>
      <c r="G834" s="148"/>
      <c r="H834" s="148"/>
      <c r="AF834" s="4"/>
      <c r="AG834" s="4"/>
    </row>
    <row r="835" spans="5:33" ht="12.75">
      <c r="E835" s="148"/>
      <c r="F835" s="148"/>
      <c r="G835" s="148"/>
      <c r="H835" s="148"/>
      <c r="AF835" s="4"/>
      <c r="AG835" s="4"/>
    </row>
    <row r="836" spans="5:33" ht="12.75">
      <c r="E836" s="148"/>
      <c r="F836" s="148"/>
      <c r="G836" s="148"/>
      <c r="H836" s="148"/>
      <c r="AF836" s="4"/>
      <c r="AG836" s="4"/>
    </row>
    <row r="837" spans="5:33" ht="12.75">
      <c r="E837" s="148"/>
      <c r="F837" s="148"/>
      <c r="G837" s="148"/>
      <c r="H837" s="148"/>
      <c r="AF837" s="4"/>
      <c r="AG837" s="4"/>
    </row>
    <row r="838" spans="5:33" ht="12.75">
      <c r="E838" s="148"/>
      <c r="F838" s="148"/>
      <c r="G838" s="148"/>
      <c r="H838" s="148"/>
      <c r="AF838" s="4"/>
      <c r="AG838" s="4"/>
    </row>
    <row r="839" spans="5:33" ht="12.75">
      <c r="E839" s="148"/>
      <c r="F839" s="148"/>
      <c r="G839" s="148"/>
      <c r="H839" s="148"/>
      <c r="AF839" s="4"/>
      <c r="AG839" s="4"/>
    </row>
    <row r="840" spans="5:33" ht="12.75">
      <c r="E840" s="148"/>
      <c r="F840" s="148"/>
      <c r="G840" s="148"/>
      <c r="H840" s="148"/>
      <c r="AF840" s="4"/>
      <c r="AG840" s="4"/>
    </row>
    <row r="841" spans="5:33" ht="12.75">
      <c r="E841" s="148"/>
      <c r="F841" s="148"/>
      <c r="G841" s="148"/>
      <c r="H841" s="148"/>
      <c r="AF841" s="4"/>
      <c r="AG841" s="4"/>
    </row>
    <row r="842" spans="5:33" ht="12.75">
      <c r="E842" s="148"/>
      <c r="F842" s="148"/>
      <c r="G842" s="148"/>
      <c r="H842" s="148"/>
      <c r="AF842" s="4"/>
      <c r="AG842" s="4"/>
    </row>
    <row r="843" spans="5:33" ht="12.75">
      <c r="E843" s="148"/>
      <c r="F843" s="148"/>
      <c r="G843" s="148"/>
      <c r="H843" s="148"/>
      <c r="AF843" s="4"/>
      <c r="AG843" s="4"/>
    </row>
    <row r="844" spans="5:33" ht="12.75">
      <c r="E844" s="148"/>
      <c r="F844" s="148"/>
      <c r="G844" s="148"/>
      <c r="H844" s="148"/>
      <c r="AF844" s="4"/>
      <c r="AG844" s="4"/>
    </row>
    <row r="845" spans="5:33" ht="12.75">
      <c r="E845" s="148"/>
      <c r="F845" s="148"/>
      <c r="G845" s="148"/>
      <c r="H845" s="148"/>
      <c r="AF845" s="4"/>
      <c r="AG845" s="4"/>
    </row>
    <row r="846" spans="5:33" ht="12.75">
      <c r="E846" s="148"/>
      <c r="F846" s="148"/>
      <c r="G846" s="148"/>
      <c r="H846" s="148"/>
      <c r="AF846" s="4"/>
      <c r="AG846" s="4"/>
    </row>
    <row r="847" spans="5:33" ht="12.75">
      <c r="E847" s="148"/>
      <c r="F847" s="148"/>
      <c r="G847" s="148"/>
      <c r="H847" s="148"/>
      <c r="AF847" s="4"/>
      <c r="AG847" s="4"/>
    </row>
    <row r="848" spans="5:33" ht="12.75">
      <c r="E848" s="148"/>
      <c r="F848" s="148"/>
      <c r="G848" s="148"/>
      <c r="H848" s="148"/>
      <c r="AF848" s="4"/>
      <c r="AG848" s="4"/>
    </row>
    <row r="849" spans="5:33" ht="12.75">
      <c r="E849" s="148"/>
      <c r="F849" s="148"/>
      <c r="G849" s="148"/>
      <c r="H849" s="148"/>
      <c r="AF849" s="4"/>
      <c r="AG849" s="4"/>
    </row>
    <row r="850" spans="5:33" ht="12.75">
      <c r="E850" s="148"/>
      <c r="F850" s="148"/>
      <c r="G850" s="148"/>
      <c r="H850" s="148"/>
      <c r="AF850" s="4"/>
      <c r="AG850" s="4"/>
    </row>
    <row r="851" spans="5:33" ht="12.75">
      <c r="E851" s="148"/>
      <c r="F851" s="148"/>
      <c r="G851" s="148"/>
      <c r="H851" s="148"/>
      <c r="AF851" s="4"/>
      <c r="AG851" s="4"/>
    </row>
    <row r="852" spans="5:33" ht="12.75">
      <c r="E852" s="148"/>
      <c r="F852" s="148"/>
      <c r="G852" s="148"/>
      <c r="H852" s="148"/>
      <c r="AF852" s="4"/>
      <c r="AG852" s="4"/>
    </row>
    <row r="853" spans="5:33" ht="12.75">
      <c r="E853" s="148"/>
      <c r="F853" s="148"/>
      <c r="G853" s="148"/>
      <c r="H853" s="148"/>
      <c r="AF853" s="4"/>
      <c r="AG853" s="4"/>
    </row>
    <row r="854" spans="5:33" ht="12.75">
      <c r="E854" s="148"/>
      <c r="F854" s="148"/>
      <c r="G854" s="148"/>
      <c r="H854" s="148"/>
      <c r="AF854" s="4"/>
      <c r="AG854" s="4"/>
    </row>
    <row r="855" spans="5:33" ht="12.75">
      <c r="E855" s="148"/>
      <c r="F855" s="148"/>
      <c r="G855" s="148"/>
      <c r="H855" s="148"/>
      <c r="AF855" s="4"/>
      <c r="AG855" s="4"/>
    </row>
    <row r="856" spans="5:33" ht="12.75">
      <c r="E856" s="148"/>
      <c r="F856" s="148"/>
      <c r="G856" s="148"/>
      <c r="H856" s="148"/>
      <c r="AF856" s="4"/>
      <c r="AG856" s="4"/>
    </row>
    <row r="857" spans="5:33" ht="12.75">
      <c r="E857" s="148"/>
      <c r="F857" s="148"/>
      <c r="G857" s="148"/>
      <c r="H857" s="148"/>
      <c r="AF857" s="4"/>
      <c r="AG857" s="4"/>
    </row>
    <row r="858" spans="5:33" ht="12.75">
      <c r="E858" s="148"/>
      <c r="F858" s="148"/>
      <c r="G858" s="148"/>
      <c r="H858" s="148"/>
      <c r="AF858" s="4"/>
      <c r="AG858" s="4"/>
    </row>
    <row r="859" spans="5:33" ht="12.75">
      <c r="E859" s="148"/>
      <c r="F859" s="148"/>
      <c r="G859" s="148"/>
      <c r="H859" s="148"/>
      <c r="AF859" s="4"/>
      <c r="AG859" s="4"/>
    </row>
    <row r="860" spans="5:33" ht="12.75">
      <c r="E860" s="148"/>
      <c r="F860" s="148"/>
      <c r="G860" s="148"/>
      <c r="H860" s="148"/>
      <c r="AF860" s="4"/>
      <c r="AG860" s="4"/>
    </row>
    <row r="861" spans="5:33" ht="12.75">
      <c r="E861" s="148"/>
      <c r="F861" s="148"/>
      <c r="G861" s="148"/>
      <c r="H861" s="148"/>
      <c r="AF861" s="4"/>
      <c r="AG861" s="4"/>
    </row>
    <row r="862" spans="5:33" ht="12.75">
      <c r="E862" s="148"/>
      <c r="F862" s="148"/>
      <c r="G862" s="148"/>
      <c r="H862" s="148"/>
      <c r="AF862" s="4"/>
      <c r="AG862" s="4"/>
    </row>
    <row r="863" spans="5:33" ht="12.75">
      <c r="E863" s="148"/>
      <c r="F863" s="148"/>
      <c r="G863" s="148"/>
      <c r="H863" s="148"/>
      <c r="AF863" s="4"/>
      <c r="AG863" s="4"/>
    </row>
    <row r="864" spans="5:33" ht="12.75">
      <c r="E864" s="148"/>
      <c r="F864" s="148"/>
      <c r="G864" s="148"/>
      <c r="H864" s="148"/>
      <c r="AF864" s="4"/>
      <c r="AG864" s="4"/>
    </row>
    <row r="865" spans="5:33" ht="12.75">
      <c r="E865" s="148"/>
      <c r="F865" s="148"/>
      <c r="G865" s="148"/>
      <c r="H865" s="148"/>
      <c r="AF865" s="4"/>
      <c r="AG865" s="4"/>
    </row>
    <row r="866" spans="5:33" ht="12.75">
      <c r="E866" s="148"/>
      <c r="F866" s="148"/>
      <c r="G866" s="148"/>
      <c r="H866" s="148"/>
      <c r="AF866" s="4"/>
      <c r="AG866" s="4"/>
    </row>
    <row r="867" spans="5:33" ht="12.75">
      <c r="E867" s="148"/>
      <c r="F867" s="148"/>
      <c r="G867" s="148"/>
      <c r="H867" s="148"/>
      <c r="AF867" s="4"/>
      <c r="AG867" s="4"/>
    </row>
    <row r="868" spans="5:33" ht="12.75">
      <c r="E868" s="148"/>
      <c r="F868" s="148"/>
      <c r="G868" s="148"/>
      <c r="H868" s="148"/>
      <c r="AF868" s="4"/>
      <c r="AG868" s="4"/>
    </row>
    <row r="869" spans="5:33" ht="12.75">
      <c r="E869" s="148"/>
      <c r="F869" s="148"/>
      <c r="G869" s="148"/>
      <c r="H869" s="148"/>
      <c r="AF869" s="4"/>
      <c r="AG869" s="4"/>
    </row>
    <row r="870" spans="5:33" ht="12.75">
      <c r="E870" s="148"/>
      <c r="F870" s="148"/>
      <c r="G870" s="148"/>
      <c r="H870" s="148"/>
      <c r="AF870" s="4"/>
      <c r="AG870" s="4"/>
    </row>
    <row r="871" spans="5:33" ht="12.75">
      <c r="E871" s="148"/>
      <c r="F871" s="148"/>
      <c r="G871" s="148"/>
      <c r="H871" s="148"/>
      <c r="AF871" s="4"/>
      <c r="AG871" s="4"/>
    </row>
    <row r="872" spans="5:33" ht="12.75">
      <c r="E872" s="148"/>
      <c r="F872" s="148"/>
      <c r="G872" s="148"/>
      <c r="H872" s="148"/>
      <c r="AF872" s="4"/>
      <c r="AG872" s="4"/>
    </row>
    <row r="873" spans="5:33" ht="12.75">
      <c r="E873" s="148"/>
      <c r="F873" s="148"/>
      <c r="G873" s="148"/>
      <c r="H873" s="148"/>
      <c r="AF873" s="4"/>
      <c r="AG873" s="4"/>
    </row>
    <row r="874" spans="5:33" ht="12.75">
      <c r="E874" s="148"/>
      <c r="F874" s="148"/>
      <c r="G874" s="148"/>
      <c r="H874" s="148"/>
      <c r="AF874" s="4"/>
      <c r="AG874" s="4"/>
    </row>
    <row r="875" spans="5:33" ht="12.75">
      <c r="E875" s="148"/>
      <c r="F875" s="148"/>
      <c r="G875" s="148"/>
      <c r="H875" s="148"/>
      <c r="AF875" s="4"/>
      <c r="AG875" s="4"/>
    </row>
    <row r="876" spans="5:33" ht="12.75">
      <c r="E876" s="148"/>
      <c r="F876" s="148"/>
      <c r="G876" s="148"/>
      <c r="H876" s="148"/>
      <c r="AF876" s="4"/>
      <c r="AG876" s="4"/>
    </row>
    <row r="877" spans="5:33" ht="12.75">
      <c r="E877" s="148"/>
      <c r="F877" s="148"/>
      <c r="G877" s="148"/>
      <c r="H877" s="148"/>
      <c r="AF877" s="4"/>
      <c r="AG877" s="4"/>
    </row>
    <row r="878" spans="5:33" ht="12.75">
      <c r="E878" s="148"/>
      <c r="F878" s="148"/>
      <c r="G878" s="148"/>
      <c r="H878" s="148"/>
      <c r="AF878" s="4"/>
      <c r="AG878" s="4"/>
    </row>
    <row r="879" spans="5:33" ht="12.75">
      <c r="E879" s="148"/>
      <c r="F879" s="148"/>
      <c r="G879" s="148"/>
      <c r="H879" s="148"/>
      <c r="AF879" s="4"/>
      <c r="AG879" s="4"/>
    </row>
    <row r="880" spans="5:33" ht="12.75">
      <c r="E880" s="148"/>
      <c r="F880" s="148"/>
      <c r="G880" s="148"/>
      <c r="H880" s="148"/>
      <c r="AF880" s="4"/>
      <c r="AG880" s="4"/>
    </row>
    <row r="881" spans="5:33" ht="12.75">
      <c r="E881" s="148"/>
      <c r="F881" s="148"/>
      <c r="G881" s="148"/>
      <c r="H881" s="148"/>
      <c r="AF881" s="4"/>
      <c r="AG881" s="4"/>
    </row>
    <row r="882" spans="5:33" ht="12.75">
      <c r="E882" s="148"/>
      <c r="F882" s="148"/>
      <c r="G882" s="148"/>
      <c r="H882" s="148"/>
      <c r="AF882" s="4"/>
      <c r="AG882" s="4"/>
    </row>
    <row r="883" spans="5:33" ht="12.75">
      <c r="E883" s="148"/>
      <c r="F883" s="148"/>
      <c r="G883" s="148"/>
      <c r="H883" s="148"/>
      <c r="AF883" s="4"/>
      <c r="AG883" s="4"/>
    </row>
    <row r="884" spans="5:33" ht="12.75">
      <c r="E884" s="148"/>
      <c r="F884" s="148"/>
      <c r="G884" s="148"/>
      <c r="H884" s="148"/>
      <c r="AF884" s="4"/>
      <c r="AG884" s="4"/>
    </row>
    <row r="885" spans="5:33" ht="12.75">
      <c r="E885" s="148"/>
      <c r="F885" s="148"/>
      <c r="G885" s="148"/>
      <c r="H885" s="148"/>
      <c r="AF885" s="4"/>
      <c r="AG885" s="4"/>
    </row>
    <row r="886" spans="5:33" ht="12.75">
      <c r="E886" s="148"/>
      <c r="F886" s="148"/>
      <c r="G886" s="148"/>
      <c r="H886" s="148"/>
      <c r="AF886" s="4"/>
      <c r="AG886" s="4"/>
    </row>
    <row r="887" spans="5:33" ht="12.75">
      <c r="E887" s="148"/>
      <c r="F887" s="148"/>
      <c r="G887" s="148"/>
      <c r="H887" s="148"/>
      <c r="AF887" s="4"/>
      <c r="AG887" s="4"/>
    </row>
    <row r="888" spans="5:33" ht="12.75">
      <c r="E888" s="148"/>
      <c r="F888" s="148"/>
      <c r="G888" s="148"/>
      <c r="H888" s="148"/>
      <c r="AF888" s="4"/>
      <c r="AG888" s="4"/>
    </row>
    <row r="889" spans="5:33" ht="12.75">
      <c r="E889" s="148"/>
      <c r="F889" s="148"/>
      <c r="G889" s="148"/>
      <c r="H889" s="148"/>
      <c r="AF889" s="4"/>
      <c r="AG889" s="4"/>
    </row>
    <row r="890" spans="5:33" ht="12.75">
      <c r="E890" s="148"/>
      <c r="F890" s="148"/>
      <c r="G890" s="148"/>
      <c r="H890" s="148"/>
      <c r="AF890" s="4"/>
      <c r="AG890" s="4"/>
    </row>
    <row r="891" spans="5:33" ht="12.75">
      <c r="E891" s="148"/>
      <c r="F891" s="148"/>
      <c r="G891" s="148"/>
      <c r="H891" s="148"/>
      <c r="AF891" s="4"/>
      <c r="AG891" s="4"/>
    </row>
    <row r="892" spans="5:33" ht="12.75">
      <c r="E892" s="148"/>
      <c r="F892" s="148"/>
      <c r="G892" s="148"/>
      <c r="H892" s="148"/>
      <c r="AF892" s="4"/>
      <c r="AG892" s="4"/>
    </row>
    <row r="893" spans="5:33" ht="12.75">
      <c r="E893" s="148"/>
      <c r="F893" s="148"/>
      <c r="G893" s="148"/>
      <c r="H893" s="148"/>
      <c r="AF893" s="4"/>
      <c r="AG893" s="4"/>
    </row>
    <row r="894" spans="5:33" ht="12.75">
      <c r="E894" s="148"/>
      <c r="F894" s="148"/>
      <c r="G894" s="148"/>
      <c r="H894" s="148"/>
      <c r="AF894" s="4"/>
      <c r="AG894" s="4"/>
    </row>
    <row r="895" spans="5:33" ht="12.75">
      <c r="E895" s="148"/>
      <c r="F895" s="148"/>
      <c r="G895" s="148"/>
      <c r="H895" s="148"/>
      <c r="AF895" s="4"/>
      <c r="AG895" s="4"/>
    </row>
    <row r="896" spans="5:33" ht="12.75">
      <c r="E896" s="148"/>
      <c r="F896" s="148"/>
      <c r="G896" s="148"/>
      <c r="H896" s="148"/>
      <c r="AF896" s="4"/>
      <c r="AG896" s="4"/>
    </row>
    <row r="897" spans="5:33" ht="12.75">
      <c r="E897" s="148"/>
      <c r="F897" s="148"/>
      <c r="G897" s="148"/>
      <c r="H897" s="148"/>
      <c r="AF897" s="4"/>
      <c r="AG897" s="4"/>
    </row>
    <row r="898" spans="5:33" ht="12.75">
      <c r="E898" s="148"/>
      <c r="F898" s="148"/>
      <c r="G898" s="148"/>
      <c r="H898" s="148"/>
      <c r="AF898" s="4"/>
      <c r="AG898" s="4"/>
    </row>
    <row r="899" spans="5:33" ht="12.75">
      <c r="E899" s="148"/>
      <c r="F899" s="148"/>
      <c r="G899" s="148"/>
      <c r="H899" s="148"/>
      <c r="AF899" s="4"/>
      <c r="AG899" s="4"/>
    </row>
    <row r="900" spans="5:33" ht="12.75">
      <c r="E900" s="148"/>
      <c r="F900" s="148"/>
      <c r="G900" s="148"/>
      <c r="H900" s="148"/>
      <c r="AF900" s="4"/>
      <c r="AG900" s="4"/>
    </row>
    <row r="901" spans="5:33" ht="12.75">
      <c r="E901" s="148"/>
      <c r="F901" s="148"/>
      <c r="G901" s="148"/>
      <c r="H901" s="148"/>
      <c r="AF901" s="4"/>
      <c r="AG901" s="4"/>
    </row>
    <row r="902" spans="5:33" ht="12.75">
      <c r="E902" s="148"/>
      <c r="F902" s="148"/>
      <c r="G902" s="148"/>
      <c r="H902" s="148"/>
      <c r="AF902" s="4"/>
      <c r="AG902" s="4"/>
    </row>
    <row r="903" spans="5:33" ht="12.75">
      <c r="E903" s="148"/>
      <c r="F903" s="148"/>
      <c r="G903" s="148"/>
      <c r="H903" s="148"/>
      <c r="AF903" s="4"/>
      <c r="AG903" s="4"/>
    </row>
    <row r="904" spans="5:33" ht="12.75">
      <c r="E904" s="148"/>
      <c r="F904" s="148"/>
      <c r="G904" s="148"/>
      <c r="H904" s="148"/>
      <c r="AF904" s="4"/>
      <c r="AG904" s="4"/>
    </row>
    <row r="905" spans="5:33" ht="12.75">
      <c r="E905" s="148"/>
      <c r="F905" s="148"/>
      <c r="G905" s="148"/>
      <c r="H905" s="148"/>
      <c r="AF905" s="4"/>
      <c r="AG905" s="4"/>
    </row>
    <row r="906" spans="5:33" ht="12.75">
      <c r="E906" s="148"/>
      <c r="F906" s="148"/>
      <c r="G906" s="148"/>
      <c r="H906" s="148"/>
      <c r="AF906" s="4"/>
      <c r="AG906" s="4"/>
    </row>
    <row r="907" spans="5:33" ht="12.75">
      <c r="E907" s="148"/>
      <c r="F907" s="148"/>
      <c r="G907" s="148"/>
      <c r="H907" s="148"/>
      <c r="AF907" s="4"/>
      <c r="AG907" s="4"/>
    </row>
    <row r="908" spans="5:33" ht="12.75">
      <c r="E908" s="148"/>
      <c r="F908" s="148"/>
      <c r="G908" s="148"/>
      <c r="H908" s="148"/>
      <c r="AF908" s="4"/>
      <c r="AG908" s="4"/>
    </row>
    <row r="909" spans="5:33" ht="12.75">
      <c r="E909" s="148"/>
      <c r="F909" s="148"/>
      <c r="G909" s="148"/>
      <c r="H909" s="148"/>
      <c r="AF909" s="4"/>
      <c r="AG909" s="4"/>
    </row>
    <row r="910" spans="5:33" ht="12.75">
      <c r="E910" s="148"/>
      <c r="F910" s="148"/>
      <c r="G910" s="148"/>
      <c r="H910" s="148"/>
      <c r="AF910" s="4"/>
      <c r="AG910" s="4"/>
    </row>
    <row r="911" spans="5:33" ht="12.75">
      <c r="E911" s="148"/>
      <c r="F911" s="148"/>
      <c r="G911" s="148"/>
      <c r="H911" s="148"/>
      <c r="AF911" s="4"/>
      <c r="AG911" s="4"/>
    </row>
    <row r="912" spans="5:33" ht="12.75">
      <c r="E912" s="148"/>
      <c r="F912" s="148"/>
      <c r="G912" s="148"/>
      <c r="H912" s="148"/>
      <c r="AF912" s="4"/>
      <c r="AG912" s="4"/>
    </row>
    <row r="913" spans="5:33" ht="12.75">
      <c r="E913" s="148"/>
      <c r="F913" s="148"/>
      <c r="G913" s="148"/>
      <c r="H913" s="148"/>
      <c r="AF913" s="4"/>
      <c r="AG913" s="4"/>
    </row>
    <row r="914" spans="5:33" ht="12.75">
      <c r="E914" s="148"/>
      <c r="F914" s="148"/>
      <c r="G914" s="148"/>
      <c r="H914" s="148"/>
      <c r="AF914" s="4"/>
      <c r="AG914" s="4"/>
    </row>
    <row r="915" spans="5:33" ht="12.75">
      <c r="E915" s="148"/>
      <c r="F915" s="148"/>
      <c r="G915" s="148"/>
      <c r="H915" s="148"/>
      <c r="AF915" s="4"/>
      <c r="AG915" s="4"/>
    </row>
    <row r="916" spans="5:33" ht="12.75">
      <c r="E916" s="148"/>
      <c r="F916" s="148"/>
      <c r="G916" s="148"/>
      <c r="H916" s="148"/>
      <c r="AF916" s="4"/>
      <c r="AG916" s="4"/>
    </row>
    <row r="917" spans="5:33" ht="12.75">
      <c r="E917" s="148"/>
      <c r="F917" s="148"/>
      <c r="G917" s="148"/>
      <c r="H917" s="148"/>
      <c r="AF917" s="4"/>
      <c r="AG917" s="4"/>
    </row>
    <row r="918" spans="5:33" ht="12.75">
      <c r="E918" s="148"/>
      <c r="F918" s="148"/>
      <c r="G918" s="148"/>
      <c r="H918" s="148"/>
      <c r="AF918" s="4"/>
      <c r="AG918" s="4"/>
    </row>
    <row r="919" spans="5:33" ht="12.75">
      <c r="E919" s="148"/>
      <c r="F919" s="148"/>
      <c r="G919" s="148"/>
      <c r="H919" s="148"/>
      <c r="AF919" s="4"/>
      <c r="AG919" s="4"/>
    </row>
    <row r="920" spans="5:33" ht="12.75">
      <c r="E920" s="148"/>
      <c r="F920" s="148"/>
      <c r="G920" s="148"/>
      <c r="H920" s="148"/>
      <c r="AF920" s="4"/>
      <c r="AG920" s="4"/>
    </row>
    <row r="921" spans="5:33" ht="12.75">
      <c r="E921" s="148"/>
      <c r="F921" s="148"/>
      <c r="G921" s="148"/>
      <c r="H921" s="148"/>
      <c r="AF921" s="4"/>
      <c r="AG921" s="4"/>
    </row>
    <row r="922" spans="5:33" ht="12.75">
      <c r="E922" s="148"/>
      <c r="F922" s="148"/>
      <c r="G922" s="148"/>
      <c r="H922" s="148"/>
      <c r="AF922" s="4"/>
      <c r="AG922" s="4"/>
    </row>
    <row r="923" spans="5:33" ht="12.75">
      <c r="E923" s="148"/>
      <c r="F923" s="148"/>
      <c r="G923" s="148"/>
      <c r="H923" s="148"/>
      <c r="AF923" s="4"/>
      <c r="AG923" s="4"/>
    </row>
    <row r="924" spans="5:33" ht="12.75">
      <c r="E924" s="148"/>
      <c r="F924" s="148"/>
      <c r="G924" s="148"/>
      <c r="H924" s="148"/>
      <c r="AF924" s="4"/>
      <c r="AG924" s="4"/>
    </row>
    <row r="925" spans="5:33" ht="12.75">
      <c r="E925" s="148"/>
      <c r="F925" s="148"/>
      <c r="G925" s="148"/>
      <c r="H925" s="148"/>
      <c r="AF925" s="4"/>
      <c r="AG925" s="4"/>
    </row>
    <row r="926" spans="5:33" ht="12.75">
      <c r="E926" s="148"/>
      <c r="F926" s="148"/>
      <c r="G926" s="148"/>
      <c r="H926" s="148"/>
      <c r="AF926" s="4"/>
      <c r="AG926" s="4"/>
    </row>
    <row r="927" spans="5:33" ht="12.75">
      <c r="E927" s="148"/>
      <c r="F927" s="148"/>
      <c r="G927" s="148"/>
      <c r="H927" s="148"/>
      <c r="AF927" s="4"/>
      <c r="AG927" s="4"/>
    </row>
    <row r="928" spans="5:33" ht="12.75">
      <c r="E928" s="148"/>
      <c r="F928" s="148"/>
      <c r="G928" s="148"/>
      <c r="H928" s="148"/>
      <c r="AF928" s="4"/>
      <c r="AG928" s="4"/>
    </row>
    <row r="929" spans="5:33" ht="12.75">
      <c r="E929" s="148"/>
      <c r="F929" s="148"/>
      <c r="G929" s="148"/>
      <c r="H929" s="148"/>
      <c r="AF929" s="4"/>
      <c r="AG929" s="4"/>
    </row>
    <row r="930" spans="5:33" ht="12.75">
      <c r="E930" s="148"/>
      <c r="F930" s="148"/>
      <c r="G930" s="148"/>
      <c r="H930" s="148"/>
      <c r="AF930" s="4"/>
      <c r="AG930" s="4"/>
    </row>
    <row r="931" spans="5:33" ht="12.75">
      <c r="E931" s="148"/>
      <c r="F931" s="148"/>
      <c r="G931" s="148"/>
      <c r="H931" s="148"/>
      <c r="AF931" s="4"/>
      <c r="AG931" s="4"/>
    </row>
    <row r="932" spans="5:33" ht="12.75">
      <c r="E932" s="148"/>
      <c r="F932" s="148"/>
      <c r="G932" s="148"/>
      <c r="H932" s="148"/>
      <c r="AF932" s="4"/>
      <c r="AG932" s="4"/>
    </row>
    <row r="933" spans="5:33" ht="12.75">
      <c r="E933" s="148"/>
      <c r="F933" s="148"/>
      <c r="G933" s="148"/>
      <c r="H933" s="148"/>
      <c r="AF933" s="4"/>
      <c r="AG933" s="4"/>
    </row>
    <row r="934" spans="5:33" ht="12.75">
      <c r="E934" s="148"/>
      <c r="F934" s="148"/>
      <c r="G934" s="148"/>
      <c r="H934" s="148"/>
      <c r="AF934" s="4"/>
      <c r="AG934" s="4"/>
    </row>
    <row r="935" spans="5:33" ht="12.75">
      <c r="E935" s="148"/>
      <c r="F935" s="148"/>
      <c r="G935" s="148"/>
      <c r="H935" s="148"/>
      <c r="AF935" s="4"/>
      <c r="AG935" s="4"/>
    </row>
    <row r="936" spans="5:33" ht="12.75">
      <c r="E936" s="148"/>
      <c r="F936" s="148"/>
      <c r="G936" s="148"/>
      <c r="H936" s="148"/>
      <c r="AF936" s="4"/>
      <c r="AG936" s="4"/>
    </row>
    <row r="937" spans="5:33" ht="12.75">
      <c r="E937" s="148"/>
      <c r="F937" s="148"/>
      <c r="G937" s="148"/>
      <c r="H937" s="148"/>
      <c r="AF937" s="4"/>
      <c r="AG937" s="4"/>
    </row>
    <row r="938" spans="5:33" ht="12.75">
      <c r="E938" s="148"/>
      <c r="F938" s="148"/>
      <c r="G938" s="148"/>
      <c r="H938" s="148"/>
      <c r="AF938" s="4"/>
      <c r="AG938" s="4"/>
    </row>
    <row r="939" spans="5:33" ht="12.75">
      <c r="E939" s="148"/>
      <c r="F939" s="148"/>
      <c r="G939" s="148"/>
      <c r="H939" s="148"/>
      <c r="AF939" s="4"/>
      <c r="AG939" s="4"/>
    </row>
    <row r="940" spans="5:33" ht="12.75">
      <c r="E940" s="148"/>
      <c r="F940" s="148"/>
      <c r="G940" s="148"/>
      <c r="H940" s="148"/>
      <c r="AF940" s="4"/>
      <c r="AG940" s="4"/>
    </row>
    <row r="941" spans="5:33" ht="12.75">
      <c r="E941" s="148"/>
      <c r="F941" s="148"/>
      <c r="G941" s="148"/>
      <c r="H941" s="148"/>
      <c r="AF941" s="4"/>
      <c r="AG941" s="4"/>
    </row>
    <row r="942" spans="5:33" ht="12.75">
      <c r="E942" s="148"/>
      <c r="F942" s="148"/>
      <c r="G942" s="148"/>
      <c r="H942" s="148"/>
      <c r="AF942" s="4"/>
      <c r="AG942" s="4"/>
    </row>
    <row r="943" spans="5:33" ht="12.75">
      <c r="E943" s="148"/>
      <c r="F943" s="148"/>
      <c r="G943" s="148"/>
      <c r="H943" s="148"/>
      <c r="AF943" s="4"/>
      <c r="AG943" s="4"/>
    </row>
    <row r="944" spans="5:33" ht="12.75">
      <c r="E944" s="148"/>
      <c r="F944" s="148"/>
      <c r="G944" s="148"/>
      <c r="H944" s="148"/>
      <c r="AF944" s="4"/>
      <c r="AG944" s="4"/>
    </row>
    <row r="945" spans="5:33" ht="12.75">
      <c r="E945" s="148"/>
      <c r="F945" s="148"/>
      <c r="G945" s="148"/>
      <c r="H945" s="148"/>
      <c r="AF945" s="4"/>
      <c r="AG945" s="4"/>
    </row>
    <row r="946" spans="5:33" ht="12.75">
      <c r="E946" s="148"/>
      <c r="F946" s="148"/>
      <c r="G946" s="148"/>
      <c r="H946" s="148"/>
      <c r="AF946" s="4"/>
      <c r="AG946" s="4"/>
    </row>
    <row r="947" spans="5:33" ht="12.75">
      <c r="E947" s="148"/>
      <c r="F947" s="148"/>
      <c r="G947" s="148"/>
      <c r="H947" s="148"/>
      <c r="AF947" s="4"/>
      <c r="AG947" s="4"/>
    </row>
    <row r="948" spans="5:33" ht="12.75">
      <c r="E948" s="148"/>
      <c r="F948" s="148"/>
      <c r="G948" s="148"/>
      <c r="H948" s="148"/>
      <c r="AF948" s="4"/>
      <c r="AG948" s="4"/>
    </row>
    <row r="949" spans="5:33" ht="12.75">
      <c r="E949" s="148"/>
      <c r="F949" s="148"/>
      <c r="G949" s="148"/>
      <c r="H949" s="148"/>
      <c r="AF949" s="4"/>
      <c r="AG949" s="4"/>
    </row>
    <row r="950" spans="5:33" ht="12.75">
      <c r="E950" s="148"/>
      <c r="F950" s="148"/>
      <c r="G950" s="148"/>
      <c r="H950" s="148"/>
      <c r="AF950" s="4"/>
      <c r="AG950" s="4"/>
    </row>
    <row r="951" spans="5:33" ht="12.75">
      <c r="E951" s="148"/>
      <c r="F951" s="148"/>
      <c r="G951" s="148"/>
      <c r="H951" s="148"/>
      <c r="AF951" s="4"/>
      <c r="AG951" s="4"/>
    </row>
    <row r="952" spans="5:33" ht="12.75">
      <c r="E952" s="148"/>
      <c r="F952" s="148"/>
      <c r="G952" s="148"/>
      <c r="H952" s="148"/>
      <c r="AF952" s="4"/>
      <c r="AG952" s="4"/>
    </row>
    <row r="953" spans="5:33" ht="12.75">
      <c r="E953" s="148"/>
      <c r="F953" s="148"/>
      <c r="G953" s="148"/>
      <c r="H953" s="148"/>
      <c r="AF953" s="4"/>
      <c r="AG953" s="4"/>
    </row>
    <row r="954" spans="5:33" ht="12.75">
      <c r="E954" s="148"/>
      <c r="F954" s="148"/>
      <c r="G954" s="148"/>
      <c r="H954" s="148"/>
      <c r="AF954" s="4"/>
      <c r="AG954" s="4"/>
    </row>
    <row r="955" spans="5:33" ht="12.75">
      <c r="E955" s="148"/>
      <c r="F955" s="148"/>
      <c r="G955" s="148"/>
      <c r="H955" s="148"/>
      <c r="AF955" s="4"/>
      <c r="AG955" s="4"/>
    </row>
    <row r="956" spans="5:33" ht="12.75">
      <c r="E956" s="148"/>
      <c r="F956" s="148"/>
      <c r="G956" s="148"/>
      <c r="H956" s="148"/>
      <c r="AF956" s="4"/>
      <c r="AG956" s="4"/>
    </row>
    <row r="957" spans="5:33" ht="12.75">
      <c r="E957" s="148"/>
      <c r="F957" s="148"/>
      <c r="G957" s="148"/>
      <c r="H957" s="148"/>
      <c r="AF957" s="4"/>
      <c r="AG957" s="4"/>
    </row>
    <row r="958" spans="5:33" ht="12.75">
      <c r="E958" s="148"/>
      <c r="F958" s="148"/>
      <c r="G958" s="148"/>
      <c r="H958" s="148"/>
      <c r="AF958" s="4"/>
      <c r="AG958" s="4"/>
    </row>
    <row r="959" spans="5:33" ht="12.75">
      <c r="E959" s="148"/>
      <c r="F959" s="148"/>
      <c r="G959" s="148"/>
      <c r="H959" s="148"/>
      <c r="AF959" s="4"/>
      <c r="AG959" s="4"/>
    </row>
    <row r="960" spans="5:33" ht="12.75">
      <c r="E960" s="148"/>
      <c r="F960" s="148"/>
      <c r="G960" s="148"/>
      <c r="H960" s="148"/>
      <c r="AF960" s="4"/>
      <c r="AG960" s="4"/>
    </row>
    <row r="961" spans="5:33" ht="12.75">
      <c r="E961" s="148"/>
      <c r="F961" s="148"/>
      <c r="G961" s="148"/>
      <c r="H961" s="148"/>
      <c r="AF961" s="4"/>
      <c r="AG961" s="4"/>
    </row>
    <row r="962" spans="5:33" ht="12.75">
      <c r="E962" s="148"/>
      <c r="F962" s="148"/>
      <c r="G962" s="148"/>
      <c r="H962" s="148"/>
      <c r="AF962" s="4"/>
      <c r="AG962" s="4"/>
    </row>
    <row r="963" spans="5:33" ht="12.75">
      <c r="E963" s="148"/>
      <c r="F963" s="148"/>
      <c r="G963" s="148"/>
      <c r="H963" s="148"/>
      <c r="AF963" s="4"/>
      <c r="AG963" s="4"/>
    </row>
    <row r="964" spans="5:33" ht="12.75">
      <c r="E964" s="148"/>
      <c r="F964" s="148"/>
      <c r="G964" s="148"/>
      <c r="H964" s="148"/>
      <c r="AF964" s="4"/>
      <c r="AG964" s="4"/>
    </row>
    <row r="965" spans="5:33" ht="12.75">
      <c r="E965" s="148"/>
      <c r="F965" s="148"/>
      <c r="G965" s="148"/>
      <c r="H965" s="148"/>
      <c r="AF965" s="4"/>
      <c r="AG965" s="4"/>
    </row>
    <row r="966" spans="5:33" ht="12.75">
      <c r="E966" s="148"/>
      <c r="F966" s="148"/>
      <c r="G966" s="148"/>
      <c r="H966" s="148"/>
      <c r="AF966" s="4"/>
      <c r="AG966" s="4"/>
    </row>
    <row r="967" spans="5:33" ht="12.75">
      <c r="E967" s="148"/>
      <c r="F967" s="148"/>
      <c r="G967" s="148"/>
      <c r="H967" s="148"/>
      <c r="AF967" s="4"/>
      <c r="AG967" s="4"/>
    </row>
    <row r="968" spans="5:33" ht="12.75">
      <c r="E968" s="148"/>
      <c r="F968" s="148"/>
      <c r="G968" s="148"/>
      <c r="H968" s="148"/>
      <c r="AF968" s="4"/>
      <c r="AG968" s="4"/>
    </row>
    <row r="969" spans="5:33" ht="12.75">
      <c r="E969" s="148"/>
      <c r="F969" s="148"/>
      <c r="G969" s="148"/>
      <c r="H969" s="148"/>
      <c r="AF969" s="4"/>
      <c r="AG969" s="4"/>
    </row>
    <row r="970" spans="5:33" ht="12.75">
      <c r="E970" s="148"/>
      <c r="F970" s="148"/>
      <c r="G970" s="148"/>
      <c r="H970" s="148"/>
      <c r="AF970" s="4"/>
      <c r="AG970" s="4"/>
    </row>
    <row r="971" spans="5:33" ht="12.75">
      <c r="E971" s="148"/>
      <c r="F971" s="148"/>
      <c r="G971" s="148"/>
      <c r="H971" s="148"/>
      <c r="AF971" s="4"/>
      <c r="AG971" s="4"/>
    </row>
    <row r="972" spans="5:33" ht="12.75">
      <c r="E972" s="148"/>
      <c r="F972" s="148"/>
      <c r="G972" s="148"/>
      <c r="H972" s="148"/>
      <c r="AF972" s="4"/>
      <c r="AG972" s="4"/>
    </row>
    <row r="973" spans="5:33" ht="12.75">
      <c r="E973" s="148"/>
      <c r="F973" s="148"/>
      <c r="G973" s="148"/>
      <c r="H973" s="148"/>
      <c r="AF973" s="4"/>
      <c r="AG973" s="4"/>
    </row>
    <row r="974" spans="5:33" ht="12.75">
      <c r="E974" s="148"/>
      <c r="F974" s="148"/>
      <c r="G974" s="148"/>
      <c r="H974" s="148"/>
      <c r="AF974" s="4"/>
      <c r="AG974" s="4"/>
    </row>
    <row r="975" spans="5:33" ht="12.75">
      <c r="E975" s="148"/>
      <c r="F975" s="148"/>
      <c r="G975" s="148"/>
      <c r="H975" s="148"/>
      <c r="AF975" s="4"/>
      <c r="AG975" s="4"/>
    </row>
    <row r="976" spans="5:33" ht="12.75">
      <c r="E976" s="148"/>
      <c r="F976" s="148"/>
      <c r="G976" s="148"/>
      <c r="H976" s="148"/>
      <c r="AF976" s="4"/>
      <c r="AG976" s="4"/>
    </row>
    <row r="977" spans="5:33" ht="12.75">
      <c r="E977" s="148"/>
      <c r="F977" s="148"/>
      <c r="G977" s="148"/>
      <c r="H977" s="148"/>
      <c r="AF977" s="4"/>
      <c r="AG977" s="4"/>
    </row>
    <row r="978" spans="5:33" ht="12.75">
      <c r="E978" s="148"/>
      <c r="F978" s="148"/>
      <c r="G978" s="148"/>
      <c r="H978" s="148"/>
      <c r="AF978" s="4"/>
      <c r="AG978" s="4"/>
    </row>
    <row r="979" spans="5:33" ht="12.75">
      <c r="E979" s="148"/>
      <c r="F979" s="148"/>
      <c r="G979" s="148"/>
      <c r="H979" s="148"/>
      <c r="AF979" s="4"/>
      <c r="AG979" s="4"/>
    </row>
    <row r="980" spans="5:33" ht="12.75">
      <c r="E980" s="148"/>
      <c r="F980" s="148"/>
      <c r="G980" s="148"/>
      <c r="H980" s="148"/>
      <c r="AF980" s="4"/>
      <c r="AG980" s="4"/>
    </row>
    <row r="981" spans="5:33" ht="12.75">
      <c r="E981" s="148"/>
      <c r="F981" s="148"/>
      <c r="G981" s="148"/>
      <c r="H981" s="148"/>
      <c r="AF981" s="4"/>
      <c r="AG981" s="4"/>
    </row>
    <row r="982" spans="5:33" ht="12.75">
      <c r="E982" s="148"/>
      <c r="F982" s="148"/>
      <c r="G982" s="148"/>
      <c r="H982" s="148"/>
      <c r="AF982" s="4"/>
      <c r="AG982" s="4"/>
    </row>
    <row r="983" spans="5:33" ht="12.75">
      <c r="E983" s="148"/>
      <c r="F983" s="148"/>
      <c r="G983" s="148"/>
      <c r="H983" s="148"/>
      <c r="AF983" s="4"/>
      <c r="AG983" s="4"/>
    </row>
    <row r="984" spans="5:33" ht="12.75">
      <c r="E984" s="148"/>
      <c r="F984" s="148"/>
      <c r="G984" s="148"/>
      <c r="H984" s="148"/>
      <c r="AF984" s="4"/>
      <c r="AG984" s="4"/>
    </row>
    <row r="985" spans="5:33" ht="12.75">
      <c r="E985" s="148"/>
      <c r="F985" s="148"/>
      <c r="G985" s="148"/>
      <c r="H985" s="148"/>
      <c r="AF985" s="4"/>
      <c r="AG985" s="4"/>
    </row>
    <row r="986" spans="5:33" ht="12.75">
      <c r="E986" s="148"/>
      <c r="F986" s="148"/>
      <c r="G986" s="148"/>
      <c r="H986" s="148"/>
      <c r="AF986" s="4"/>
      <c r="AG986" s="4"/>
    </row>
    <row r="987" spans="5:33" ht="12.75">
      <c r="E987" s="148"/>
      <c r="F987" s="148"/>
      <c r="G987" s="148"/>
      <c r="H987" s="148"/>
      <c r="AF987" s="4"/>
      <c r="AG987" s="4"/>
    </row>
    <row r="988" spans="5:33" ht="12.75">
      <c r="E988" s="148"/>
      <c r="F988" s="148"/>
      <c r="G988" s="148"/>
      <c r="H988" s="148"/>
      <c r="AF988" s="4"/>
      <c r="AG988" s="4"/>
    </row>
    <row r="989" spans="5:33" ht="12.75">
      <c r="E989" s="148"/>
      <c r="F989" s="148"/>
      <c r="G989" s="148"/>
      <c r="H989" s="148"/>
      <c r="AF989" s="4"/>
      <c r="AG989" s="4"/>
    </row>
    <row r="990" spans="5:33" ht="12.75">
      <c r="E990" s="148"/>
      <c r="F990" s="148"/>
      <c r="G990" s="148"/>
      <c r="H990" s="148"/>
      <c r="AF990" s="4"/>
      <c r="AG990" s="4"/>
    </row>
    <row r="991" spans="5:33" ht="12.75">
      <c r="E991" s="148"/>
      <c r="F991" s="148"/>
      <c r="G991" s="148"/>
      <c r="H991" s="148"/>
      <c r="AF991" s="4"/>
      <c r="AG991" s="4"/>
    </row>
    <row r="992" spans="5:33" ht="12.75">
      <c r="E992" s="148"/>
      <c r="F992" s="148"/>
      <c r="G992" s="148"/>
      <c r="H992" s="148"/>
      <c r="AF992" s="4"/>
      <c r="AG992" s="4"/>
    </row>
    <row r="993" spans="5:33" ht="12.75">
      <c r="E993" s="148"/>
      <c r="F993" s="148"/>
      <c r="G993" s="148"/>
      <c r="H993" s="148"/>
      <c r="AF993" s="4"/>
      <c r="AG993" s="4"/>
    </row>
  </sheetData>
  <mergeCells count="19">
    <mergeCell ref="K37:L37"/>
    <mergeCell ref="J39:L39"/>
    <mergeCell ref="J40:J46"/>
    <mergeCell ref="K47:L47"/>
    <mergeCell ref="K13:L13"/>
    <mergeCell ref="K14:L14"/>
    <mergeCell ref="J18:L18"/>
    <mergeCell ref="J19:J25"/>
    <mergeCell ref="K26:L26"/>
    <mergeCell ref="J29:L29"/>
    <mergeCell ref="J30:J36"/>
    <mergeCell ref="A5:B5"/>
    <mergeCell ref="J5:L5"/>
    <mergeCell ref="A6:A8"/>
    <mergeCell ref="D6:D8"/>
    <mergeCell ref="J6:J15"/>
    <mergeCell ref="A9:A11"/>
    <mergeCell ref="D9:D11"/>
    <mergeCell ref="K15:L15"/>
  </mergeCells>
  <phoneticPr fontId="86" type="noConversion"/>
  <conditionalFormatting sqref="M30:AH36 Y40:AH46 B34:C36 D36 M46:X46">
    <cfRule type="cellIs" dxfId="30" priority="2" operator="lessThan">
      <formula>0</formula>
    </cfRule>
  </conditionalFormatting>
  <conditionalFormatting sqref="M40:AH46">
    <cfRule type="colorScale" priority="3">
      <colorScale>
        <cfvo type="formula" val="0"/>
        <cfvo type="formula" val="3"/>
        <cfvo type="formula" val="10"/>
        <color rgb="FF9FC5E8"/>
        <color rgb="FFFFFFFF"/>
        <color rgb="FFE67C73"/>
      </colorScale>
    </cfRule>
  </conditionalFormatting>
  <conditionalFormatting sqref="N30:AH35 Y40:AC46 AE40:AH46">
    <cfRule type="cellIs" dxfId="29" priority="1" operator="lessThanOrEqual">
      <formula>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8AC6"/>
    <outlinePr summaryBelow="0" summaryRight="0"/>
  </sheetPr>
  <dimension ref="A1:AH993"/>
  <sheetViews>
    <sheetView workbookViewId="0"/>
  </sheetViews>
  <sheetFormatPr defaultColWidth="14.42578125" defaultRowHeight="15.75" customHeight="1" outlineLevelRow="1"/>
  <cols>
    <col min="9" max="10" width="15.42578125" customWidth="1"/>
    <col min="13" max="22" width="14.42578125" hidden="1"/>
  </cols>
  <sheetData>
    <row r="1" spans="1:34">
      <c r="A1" s="1"/>
      <c r="B1" s="1"/>
      <c r="C1" s="1"/>
      <c r="D1" s="1"/>
      <c r="E1" s="2"/>
      <c r="F1" s="2"/>
      <c r="G1" s="2"/>
      <c r="H1" s="2"/>
      <c r="I1" s="1"/>
      <c r="J1" s="1"/>
      <c r="K1" s="3"/>
      <c r="L1" s="3"/>
      <c r="AF1" s="4"/>
      <c r="AG1" s="4"/>
    </row>
    <row r="2" spans="1:34" ht="15.75" customHeight="1">
      <c r="A2" s="1"/>
      <c r="B2" s="1"/>
      <c r="C2" s="1"/>
      <c r="D2" s="1"/>
      <c r="E2" s="2"/>
      <c r="F2" s="2"/>
      <c r="G2" s="2"/>
      <c r="H2" s="2"/>
      <c r="I2" s="5"/>
      <c r="J2" s="5" t="s">
        <v>2</v>
      </c>
      <c r="K2" s="3"/>
      <c r="L2" s="3"/>
      <c r="AF2" s="4"/>
      <c r="AG2" s="4"/>
    </row>
    <row r="3" spans="1:34">
      <c r="A3" s="1"/>
      <c r="B3" s="1"/>
      <c r="C3" s="1"/>
      <c r="D3" s="1"/>
      <c r="E3" s="2"/>
      <c r="F3" s="2"/>
      <c r="G3" s="2"/>
      <c r="H3" s="2"/>
      <c r="I3" s="6"/>
      <c r="J3" s="6"/>
      <c r="K3" s="3"/>
      <c r="L3" s="3"/>
      <c r="AF3" s="4"/>
      <c r="AG3" s="4"/>
    </row>
    <row r="4" spans="1:34">
      <c r="A4" s="1"/>
      <c r="B4" s="1"/>
      <c r="C4" s="1"/>
      <c r="D4" s="1"/>
      <c r="E4" s="2" t="s">
        <v>4</v>
      </c>
      <c r="F4" s="2"/>
      <c r="G4" s="2"/>
      <c r="H4" s="2"/>
      <c r="I4" s="6"/>
      <c r="J4" s="6">
        <v>1700</v>
      </c>
      <c r="K4" s="3"/>
      <c r="L4" s="3"/>
      <c r="Q4" s="7">
        <v>2026</v>
      </c>
      <c r="V4" s="8"/>
      <c r="W4" s="8"/>
      <c r="AB4" s="7"/>
      <c r="AF4" s="4"/>
      <c r="AG4" s="4"/>
    </row>
    <row r="5" spans="1:34">
      <c r="A5" s="859" t="s">
        <v>6</v>
      </c>
      <c r="B5" s="860"/>
      <c r="C5" s="10" t="s">
        <v>7</v>
      </c>
      <c r="D5" s="11" t="s">
        <v>8</v>
      </c>
      <c r="E5" s="12" t="s">
        <v>9</v>
      </c>
      <c r="F5" s="12" t="s">
        <v>10</v>
      </c>
      <c r="G5" s="13" t="s">
        <v>11</v>
      </c>
      <c r="H5" s="13" t="s">
        <v>12</v>
      </c>
      <c r="I5" s="6"/>
      <c r="J5" s="861" t="s">
        <v>13</v>
      </c>
      <c r="K5" s="862"/>
      <c r="L5" s="863"/>
      <c r="M5" s="14" t="s">
        <v>14</v>
      </c>
      <c r="N5" s="15" t="s">
        <v>15</v>
      </c>
      <c r="O5" s="15" t="s">
        <v>16</v>
      </c>
      <c r="P5" s="15" t="s">
        <v>17</v>
      </c>
      <c r="Q5" s="15" t="s">
        <v>18</v>
      </c>
      <c r="R5" s="15" t="s">
        <v>19</v>
      </c>
      <c r="S5" s="15" t="s">
        <v>20</v>
      </c>
      <c r="T5" s="15" t="s">
        <v>21</v>
      </c>
      <c r="U5" s="15" t="s">
        <v>22</v>
      </c>
      <c r="V5" s="15" t="s">
        <v>23</v>
      </c>
      <c r="W5" s="15" t="s">
        <v>24</v>
      </c>
      <c r="X5" s="16" t="s">
        <v>25</v>
      </c>
      <c r="Y5" s="17" t="s">
        <v>26</v>
      </c>
      <c r="Z5" s="15" t="s">
        <v>15</v>
      </c>
      <c r="AA5" s="15" t="s">
        <v>16</v>
      </c>
      <c r="AB5" s="15" t="s">
        <v>17</v>
      </c>
      <c r="AC5" s="15" t="s">
        <v>18</v>
      </c>
      <c r="AD5" s="16" t="s">
        <v>19</v>
      </c>
      <c r="AE5" s="19" t="s">
        <v>20</v>
      </c>
      <c r="AF5" s="18" t="s">
        <v>21</v>
      </c>
      <c r="AG5" s="18" t="s">
        <v>22</v>
      </c>
      <c r="AH5" s="18" t="s">
        <v>23</v>
      </c>
    </row>
    <row r="6" spans="1:34">
      <c r="A6" s="864" t="s">
        <v>27</v>
      </c>
      <c r="B6" s="20">
        <v>1</v>
      </c>
      <c r="C6" s="21">
        <v>33</v>
      </c>
      <c r="D6" s="867">
        <f>SUM(C6:C8)</f>
        <v>44</v>
      </c>
      <c r="E6" s="22">
        <f>D6/22</f>
        <v>2</v>
      </c>
      <c r="F6" s="23">
        <f t="shared" ref="F6:F11" si="0">AVERAGE(T19:V19)/4</f>
        <v>1901</v>
      </c>
      <c r="G6" s="22">
        <v>1500</v>
      </c>
      <c r="H6" s="22">
        <f t="shared" ref="H6:H11" si="1">AD6/4</f>
        <v>4752</v>
      </c>
      <c r="I6" s="6"/>
      <c r="J6" s="868" t="s">
        <v>28</v>
      </c>
      <c r="K6" s="25">
        <v>676366</v>
      </c>
      <c r="L6" s="26" t="s">
        <v>29</v>
      </c>
      <c r="M6" s="28">
        <v>12308</v>
      </c>
      <c r="N6" s="29"/>
      <c r="O6" s="29">
        <v>6072</v>
      </c>
      <c r="P6" s="29">
        <v>7488</v>
      </c>
      <c r="Q6" s="29">
        <v>11520</v>
      </c>
      <c r="R6" s="29"/>
      <c r="S6" s="29">
        <v>11948</v>
      </c>
      <c r="T6" s="29"/>
      <c r="U6" s="29">
        <v>44008</v>
      </c>
      <c r="V6" s="29">
        <v>11572</v>
      </c>
      <c r="W6" s="29">
        <v>13320</v>
      </c>
      <c r="X6" s="30"/>
      <c r="Y6" s="31"/>
      <c r="Z6" s="29"/>
      <c r="AA6" s="29">
        <v>12672</v>
      </c>
      <c r="AB6" s="29"/>
      <c r="AC6" s="32">
        <v>6336</v>
      </c>
      <c r="AD6" s="30">
        <f t="shared" ref="AD6:AD8" si="2">C6*144*4</f>
        <v>19008</v>
      </c>
      <c r="AE6" s="35"/>
      <c r="AF6" s="36"/>
      <c r="AG6" s="37"/>
      <c r="AH6" s="37"/>
    </row>
    <row r="7" spans="1:34">
      <c r="A7" s="865"/>
      <c r="B7" s="20">
        <v>2</v>
      </c>
      <c r="C7" s="21">
        <v>11</v>
      </c>
      <c r="D7" s="865"/>
      <c r="E7" s="22"/>
      <c r="F7" s="23">
        <f t="shared" si="0"/>
        <v>718.58333333333337</v>
      </c>
      <c r="G7" s="22">
        <v>1500</v>
      </c>
      <c r="H7" s="22">
        <f t="shared" si="1"/>
        <v>1584</v>
      </c>
      <c r="I7" s="6"/>
      <c r="J7" s="869"/>
      <c r="K7" s="25">
        <v>676367</v>
      </c>
      <c r="L7" s="26" t="s">
        <v>30</v>
      </c>
      <c r="M7" s="28">
        <v>5948</v>
      </c>
      <c r="N7" s="29">
        <v>6336</v>
      </c>
      <c r="O7" s="29">
        <v>432</v>
      </c>
      <c r="P7" s="29">
        <v>6252</v>
      </c>
      <c r="Q7" s="29">
        <v>1152</v>
      </c>
      <c r="R7" s="29"/>
      <c r="S7" s="38">
        <v>7080</v>
      </c>
      <c r="T7" s="39">
        <v>6336</v>
      </c>
      <c r="U7" s="39">
        <v>8064</v>
      </c>
      <c r="V7" s="39"/>
      <c r="W7" s="39">
        <v>17088</v>
      </c>
      <c r="X7" s="40">
        <v>6772</v>
      </c>
      <c r="Y7" s="41"/>
      <c r="Z7" s="29"/>
      <c r="AA7" s="29"/>
      <c r="AB7" s="39"/>
      <c r="AC7" s="42">
        <v>6336</v>
      </c>
      <c r="AD7" s="30">
        <f t="shared" si="2"/>
        <v>6336</v>
      </c>
      <c r="AE7" s="45">
        <v>6336</v>
      </c>
      <c r="AF7" s="36"/>
      <c r="AG7" s="37"/>
      <c r="AH7" s="37"/>
    </row>
    <row r="8" spans="1:34">
      <c r="A8" s="866"/>
      <c r="B8" s="20">
        <v>3</v>
      </c>
      <c r="C8" s="21">
        <v>0</v>
      </c>
      <c r="D8" s="866"/>
      <c r="E8" s="22"/>
      <c r="F8" s="23">
        <f t="shared" si="0"/>
        <v>340</v>
      </c>
      <c r="G8" s="22">
        <v>1500</v>
      </c>
      <c r="H8" s="22">
        <f t="shared" si="1"/>
        <v>0</v>
      </c>
      <c r="I8" s="6"/>
      <c r="J8" s="869"/>
      <c r="K8" s="46">
        <v>676369</v>
      </c>
      <c r="L8" s="47" t="s">
        <v>31</v>
      </c>
      <c r="M8" s="28"/>
      <c r="N8" s="29">
        <v>6212</v>
      </c>
      <c r="O8" s="29"/>
      <c r="P8" s="29"/>
      <c r="Q8" s="29"/>
      <c r="R8" s="29"/>
      <c r="S8" s="29"/>
      <c r="T8" s="29"/>
      <c r="U8" s="29">
        <v>6912</v>
      </c>
      <c r="V8" s="29"/>
      <c r="W8" s="29">
        <v>332</v>
      </c>
      <c r="X8" s="30">
        <v>5760</v>
      </c>
      <c r="Y8" s="31"/>
      <c r="Z8" s="29"/>
      <c r="AA8" s="29"/>
      <c r="AB8" s="29"/>
      <c r="AC8" s="49"/>
      <c r="AD8" s="30">
        <f t="shared" si="2"/>
        <v>0</v>
      </c>
      <c r="AE8" s="43"/>
      <c r="AF8" s="36"/>
      <c r="AG8" s="37"/>
      <c r="AH8" s="37"/>
    </row>
    <row r="9" spans="1:34">
      <c r="A9" s="871" t="s">
        <v>32</v>
      </c>
      <c r="B9" s="50">
        <v>1</v>
      </c>
      <c r="C9" s="51">
        <v>150</v>
      </c>
      <c r="D9" s="872">
        <f>SUM(C9:C11)</f>
        <v>240</v>
      </c>
      <c r="E9" s="22">
        <f>D9/24</f>
        <v>10</v>
      </c>
      <c r="F9" s="23">
        <f t="shared" si="0"/>
        <v>6009.5</v>
      </c>
      <c r="G9" s="22">
        <v>2120</v>
      </c>
      <c r="H9" s="22">
        <f t="shared" si="1"/>
        <v>14400</v>
      </c>
      <c r="I9" s="6"/>
      <c r="J9" s="869"/>
      <c r="K9" s="52">
        <v>677211</v>
      </c>
      <c r="L9" s="53" t="s">
        <v>33</v>
      </c>
      <c r="M9" s="28">
        <v>9216</v>
      </c>
      <c r="N9" s="29">
        <v>16512</v>
      </c>
      <c r="O9" s="29">
        <v>24300</v>
      </c>
      <c r="P9" s="29"/>
      <c r="Q9" s="29">
        <v>60572</v>
      </c>
      <c r="R9" s="29">
        <v>21560</v>
      </c>
      <c r="S9" s="29">
        <v>23808</v>
      </c>
      <c r="T9" s="29"/>
      <c r="U9" s="29">
        <v>39428</v>
      </c>
      <c r="V9" s="29">
        <v>20880</v>
      </c>
      <c r="W9" s="29">
        <v>14968</v>
      </c>
      <c r="X9" s="30">
        <v>18432</v>
      </c>
      <c r="Y9" s="54">
        <v>79960</v>
      </c>
      <c r="Z9" s="55">
        <v>20352</v>
      </c>
      <c r="AA9" s="29">
        <v>48000</v>
      </c>
      <c r="AB9" s="29">
        <v>28416</v>
      </c>
      <c r="AC9" s="42">
        <v>76416</v>
      </c>
      <c r="AD9" s="30">
        <f t="shared" ref="AD9:AD11" si="3">C9*96*4</f>
        <v>57600</v>
      </c>
      <c r="AE9" s="43"/>
      <c r="AF9" s="36"/>
      <c r="AG9" s="37"/>
      <c r="AH9" s="37"/>
    </row>
    <row r="10" spans="1:34">
      <c r="A10" s="865"/>
      <c r="B10" s="50">
        <v>2</v>
      </c>
      <c r="C10" s="51">
        <v>90</v>
      </c>
      <c r="D10" s="865"/>
      <c r="E10" s="22"/>
      <c r="F10" s="23">
        <f t="shared" si="0"/>
        <v>3391.3333333333335</v>
      </c>
      <c r="G10" s="22">
        <v>2280</v>
      </c>
      <c r="H10" s="22">
        <f t="shared" si="1"/>
        <v>8640</v>
      </c>
      <c r="I10" s="6"/>
      <c r="J10" s="869"/>
      <c r="K10" s="52">
        <v>677200</v>
      </c>
      <c r="L10" s="53" t="s">
        <v>34</v>
      </c>
      <c r="M10" s="28"/>
      <c r="N10" s="29"/>
      <c r="O10" s="29">
        <v>12432</v>
      </c>
      <c r="P10" s="29"/>
      <c r="Q10" s="29">
        <v>30336</v>
      </c>
      <c r="R10" s="29">
        <v>21584</v>
      </c>
      <c r="S10" s="29"/>
      <c r="T10" s="39">
        <v>6528</v>
      </c>
      <c r="U10" s="39"/>
      <c r="V10" s="39"/>
      <c r="W10" s="39">
        <v>46080</v>
      </c>
      <c r="X10" s="40">
        <v>9216</v>
      </c>
      <c r="Y10" s="54">
        <v>26216</v>
      </c>
      <c r="Z10" s="55">
        <v>11520</v>
      </c>
      <c r="AA10" s="55">
        <v>24896</v>
      </c>
      <c r="AB10" s="55">
        <v>11136</v>
      </c>
      <c r="AC10" s="42">
        <v>26880</v>
      </c>
      <c r="AD10" s="30">
        <f t="shared" si="3"/>
        <v>34560</v>
      </c>
      <c r="AE10" s="43"/>
      <c r="AF10" s="36"/>
      <c r="AG10" s="37"/>
      <c r="AH10" s="37"/>
    </row>
    <row r="11" spans="1:34">
      <c r="A11" s="866"/>
      <c r="B11" s="50">
        <v>3</v>
      </c>
      <c r="C11" s="51">
        <v>0</v>
      </c>
      <c r="D11" s="866"/>
      <c r="E11" s="22"/>
      <c r="F11" s="23">
        <f t="shared" si="0"/>
        <v>648.91666666666663</v>
      </c>
      <c r="G11" s="22">
        <v>1880</v>
      </c>
      <c r="H11" s="22">
        <f t="shared" si="1"/>
        <v>0</v>
      </c>
      <c r="I11" s="6"/>
      <c r="J11" s="869"/>
      <c r="K11" s="56">
        <v>677281</v>
      </c>
      <c r="L11" s="57" t="s">
        <v>35</v>
      </c>
      <c r="M11" s="28"/>
      <c r="N11" s="29"/>
      <c r="O11" s="29">
        <v>8832</v>
      </c>
      <c r="P11" s="29"/>
      <c r="Q11" s="29">
        <v>232</v>
      </c>
      <c r="R11" s="29">
        <v>10688</v>
      </c>
      <c r="S11" s="29"/>
      <c r="T11" s="29"/>
      <c r="U11" s="29"/>
      <c r="V11" s="29"/>
      <c r="W11" s="29">
        <v>4592</v>
      </c>
      <c r="X11" s="30"/>
      <c r="Y11" s="31">
        <v>2424</v>
      </c>
      <c r="Z11" s="39"/>
      <c r="AA11" s="39">
        <v>7520</v>
      </c>
      <c r="AB11" s="29">
        <v>4224</v>
      </c>
      <c r="AC11" s="42">
        <v>7296</v>
      </c>
      <c r="AD11" s="30">
        <f t="shared" si="3"/>
        <v>0</v>
      </c>
      <c r="AE11" s="43"/>
      <c r="AF11" s="36"/>
      <c r="AG11" s="37"/>
      <c r="AH11" s="37"/>
    </row>
    <row r="12" spans="1:34">
      <c r="A12" s="1"/>
      <c r="B12" s="1"/>
      <c r="C12" s="1"/>
      <c r="D12" s="1"/>
      <c r="E12" s="2"/>
      <c r="F12" s="2"/>
      <c r="G12" s="2"/>
      <c r="H12" s="2"/>
      <c r="I12" s="6"/>
      <c r="J12" s="869"/>
      <c r="K12" s="58">
        <v>560277</v>
      </c>
      <c r="L12" s="59" t="s">
        <v>36</v>
      </c>
      <c r="M12" s="28"/>
      <c r="N12" s="29"/>
      <c r="O12" s="29"/>
      <c r="P12" s="29">
        <v>6912</v>
      </c>
      <c r="Q12" s="29"/>
      <c r="R12" s="29">
        <v>5208</v>
      </c>
      <c r="S12" s="29"/>
      <c r="T12" s="29"/>
      <c r="U12" s="29">
        <v>11628</v>
      </c>
      <c r="V12" s="29">
        <v>11796</v>
      </c>
      <c r="W12" s="29"/>
      <c r="X12" s="30"/>
      <c r="Y12" s="31"/>
      <c r="Z12" s="29"/>
      <c r="AA12" s="29"/>
      <c r="AB12" s="29"/>
      <c r="AC12" s="29"/>
      <c r="AD12" s="30"/>
      <c r="AE12" s="43"/>
      <c r="AF12" s="36"/>
      <c r="AG12" s="37"/>
      <c r="AH12" s="37"/>
    </row>
    <row r="13" spans="1:34">
      <c r="A13" s="1"/>
      <c r="B13" s="1"/>
      <c r="D13" s="1"/>
      <c r="E13" s="2"/>
      <c r="F13" s="2"/>
      <c r="G13" s="2"/>
      <c r="H13" s="2"/>
      <c r="I13" s="6"/>
      <c r="J13" s="869"/>
      <c r="K13" s="873" t="s">
        <v>38</v>
      </c>
      <c r="L13" s="870"/>
      <c r="M13" s="61">
        <f t="shared" ref="M13:AG13" si="4">SUM(M6:M12)</f>
        <v>27472</v>
      </c>
      <c r="N13" s="61">
        <f t="shared" si="4"/>
        <v>29060</v>
      </c>
      <c r="O13" s="61">
        <f t="shared" si="4"/>
        <v>52068</v>
      </c>
      <c r="P13" s="61">
        <f t="shared" si="4"/>
        <v>20652</v>
      </c>
      <c r="Q13" s="61">
        <f t="shared" si="4"/>
        <v>103812</v>
      </c>
      <c r="R13" s="61">
        <f t="shared" si="4"/>
        <v>59040</v>
      </c>
      <c r="S13" s="61">
        <f t="shared" si="4"/>
        <v>42836</v>
      </c>
      <c r="T13" s="61">
        <f t="shared" si="4"/>
        <v>12864</v>
      </c>
      <c r="U13" s="61">
        <f t="shared" si="4"/>
        <v>110040</v>
      </c>
      <c r="V13" s="61">
        <f t="shared" si="4"/>
        <v>44248</v>
      </c>
      <c r="W13" s="61">
        <f t="shared" si="4"/>
        <v>96380</v>
      </c>
      <c r="X13" s="62">
        <f t="shared" si="4"/>
        <v>40180</v>
      </c>
      <c r="Y13" s="63">
        <f t="shared" si="4"/>
        <v>108600</v>
      </c>
      <c r="Z13" s="61">
        <f t="shared" si="4"/>
        <v>31872</v>
      </c>
      <c r="AA13" s="61">
        <f t="shared" si="4"/>
        <v>93088</v>
      </c>
      <c r="AB13" s="61">
        <f t="shared" si="4"/>
        <v>43776</v>
      </c>
      <c r="AC13" s="61">
        <f t="shared" si="4"/>
        <v>123264</v>
      </c>
      <c r="AD13" s="62">
        <f t="shared" si="4"/>
        <v>117504</v>
      </c>
      <c r="AE13" s="64">
        <f t="shared" si="4"/>
        <v>6336</v>
      </c>
      <c r="AF13" s="65">
        <f t="shared" si="4"/>
        <v>0</v>
      </c>
      <c r="AG13" s="66">
        <f t="shared" si="4"/>
        <v>0</v>
      </c>
      <c r="AH13" s="66"/>
    </row>
    <row r="14" spans="1:34">
      <c r="A14" s="1"/>
      <c r="B14" s="1"/>
      <c r="C14" s="67"/>
      <c r="D14" s="1"/>
      <c r="E14" s="2"/>
      <c r="F14" s="2"/>
      <c r="G14" s="2"/>
      <c r="H14" s="2"/>
      <c r="I14" s="6"/>
      <c r="J14" s="869"/>
      <c r="K14" s="873" t="s">
        <v>39</v>
      </c>
      <c r="L14" s="870"/>
      <c r="M14" s="68">
        <f>금액!E11</f>
        <v>445720200.15999997</v>
      </c>
      <c r="N14" s="68">
        <f>금액!F11</f>
        <v>306576478.99999994</v>
      </c>
      <c r="O14" s="68">
        <f>금액!G11</f>
        <v>159696992.04000002</v>
      </c>
      <c r="P14" s="68">
        <f>금액!H11</f>
        <v>335394437.64000005</v>
      </c>
      <c r="Q14" s="68">
        <f>금액!I11</f>
        <v>311194418.75999999</v>
      </c>
      <c r="R14" s="68">
        <f>금액!J11</f>
        <v>1208753.52</v>
      </c>
      <c r="S14" s="68">
        <f>금액!K11</f>
        <v>464871513.08000004</v>
      </c>
      <c r="T14" s="68">
        <f>금액!L11</f>
        <v>154764443.52000001</v>
      </c>
      <c r="U14" s="68">
        <f>금액!M11</f>
        <v>1440435218.9199998</v>
      </c>
      <c r="V14" s="68">
        <f>금액!N11</f>
        <v>1118482806.28</v>
      </c>
      <c r="W14" s="68">
        <f>VLOOKUP($K6,단가!$B$2:$E$55,4,0)*SUM(W6:W8)+21.33*SUM(W9:W11)+VLOOKUP($K12,단가!$B$2:$E$55,4,0)*W12</f>
        <v>751586131.39999998</v>
      </c>
      <c r="X14" s="69">
        <f>VLOOKUP($K6,단가!$B$2:$E$55,4,0)*SUM(X6:X8)+21.33*SUM(X9:X11)+VLOOKUP($K12,단가!$B$2:$E$55,4,0)*X12</f>
        <v>306423542.19999999</v>
      </c>
      <c r="Y14" s="71">
        <f>VLOOKUP($K6,단가!$B$2:$E$55,4,0)*SUM(Y6:Y8)+21.69*SUM(Y9:Y11)+VLOOKUP($K12,단가!$B$2:$E$55,4,0)*Y12</f>
        <v>2355534</v>
      </c>
      <c r="Z14" s="68">
        <f>VLOOKUP($K6,단가!$B$2:$E$55,4,0)*SUM(Z6:Z8)+VLOOKUP($K9,단가!$B$2:$E$55,4,0)*SUM(Z9:Z11)+VLOOKUP($K12,단가!$B$2:$E$55,4,0)*Z12</f>
        <v>1276009543.6800001</v>
      </c>
      <c r="AA14" s="68">
        <f>VLOOKUP($K6,단가!$B$2:$E$55,4,0)*SUM(AA6:AA8)+VLOOKUP($K9,단가!$B$2:$E$55,4,0)*SUM(AA9:AA11)+VLOOKUP($K12,단가!$B$2:$E$55,4,0)*AA12</f>
        <v>3528740345.5999999</v>
      </c>
      <c r="AB14" s="68">
        <f>VLOOKUP($K6,단가!$B$2:$E$55,4,0)*SUM(AB6:AB8)+VLOOKUP($K9,단가!$B$2:$E$55,4,0)*SUM(AB9:AB11)+VLOOKUP($K12,단가!$B$2:$E$55,4,0)*AB12</f>
        <v>1752591421.4400001</v>
      </c>
      <c r="AC14" s="68">
        <f>VLOOKUP($K6,단가!$B$2:$E$55,4,0)*SUM(AC6:AC8)+VLOOKUP($K9,단가!$B$2:$E$55,4,0)*SUM(AC9:AC11)+VLOOKUP($K12,단가!$B$2:$E$55,4,0)*AC12</f>
        <v>4736849783.0400009</v>
      </c>
      <c r="AD14" s="69">
        <f>VLOOKUP($K6,단가!$B$2:$E$55,4,0)*SUM(AD6:AD8)+VLOOKUP($K9,단가!$B$2:$E$55,4,0)*SUM(AD9:AD11)+VLOOKUP($K12,단가!$B$2:$E$55,4,0)*AD12</f>
        <v>4308166955.5200005</v>
      </c>
      <c r="AE14" s="71">
        <f>금액!W11</f>
        <v>0</v>
      </c>
      <c r="AF14" s="70">
        <f>금액!X11</f>
        <v>0</v>
      </c>
      <c r="AG14" s="70">
        <f>금액!Y11</f>
        <v>0</v>
      </c>
      <c r="AH14" s="70"/>
    </row>
    <row r="15" spans="1:34">
      <c r="A15" s="1"/>
      <c r="B15" s="1"/>
      <c r="C15" s="67"/>
      <c r="D15" s="1"/>
      <c r="E15" s="2"/>
      <c r="F15" s="2"/>
      <c r="G15" s="2"/>
      <c r="H15" s="2"/>
      <c r="I15" s="6"/>
      <c r="J15" s="870"/>
      <c r="K15" s="873" t="s">
        <v>40</v>
      </c>
      <c r="L15" s="870"/>
      <c r="M15" s="68">
        <f t="shared" ref="M15:Y15" si="5">M14*$J$4</f>
        <v>757724340272</v>
      </c>
      <c r="N15" s="68">
        <f t="shared" si="5"/>
        <v>521180014299.99988</v>
      </c>
      <c r="O15" s="68">
        <f t="shared" si="5"/>
        <v>271484886468.00003</v>
      </c>
      <c r="P15" s="68">
        <f t="shared" si="5"/>
        <v>570170543988.00012</v>
      </c>
      <c r="Q15" s="68">
        <f t="shared" si="5"/>
        <v>529030511892</v>
      </c>
      <c r="R15" s="68">
        <f t="shared" si="5"/>
        <v>2054880984</v>
      </c>
      <c r="S15" s="68">
        <f t="shared" si="5"/>
        <v>790281572236.00012</v>
      </c>
      <c r="T15" s="68">
        <f t="shared" si="5"/>
        <v>263099553984.00003</v>
      </c>
      <c r="U15" s="68">
        <f t="shared" si="5"/>
        <v>2448739872163.9995</v>
      </c>
      <c r="V15" s="68">
        <f t="shared" si="5"/>
        <v>1901420770676</v>
      </c>
      <c r="W15" s="68">
        <f t="shared" si="5"/>
        <v>1277696423380</v>
      </c>
      <c r="X15" s="72">
        <f t="shared" si="5"/>
        <v>520920021740</v>
      </c>
      <c r="Y15" s="71">
        <f t="shared" si="5"/>
        <v>4004407800</v>
      </c>
      <c r="Z15" s="68"/>
      <c r="AA15" s="68"/>
      <c r="AB15" s="68"/>
      <c r="AC15" s="68"/>
      <c r="AD15" s="72"/>
      <c r="AE15" s="71">
        <f t="shared" ref="AE15:AG15" si="6">AE14*$J$4</f>
        <v>0</v>
      </c>
      <c r="AF15" s="70">
        <f t="shared" si="6"/>
        <v>0</v>
      </c>
      <c r="AG15" s="70">
        <f t="shared" si="6"/>
        <v>0</v>
      </c>
      <c r="AH15" s="70"/>
    </row>
    <row r="16" spans="1:34">
      <c r="A16" s="1"/>
      <c r="B16" s="1"/>
      <c r="C16" s="67"/>
      <c r="D16" s="1"/>
      <c r="E16" s="2"/>
      <c r="F16" s="2"/>
      <c r="G16" s="2"/>
      <c r="H16" s="2"/>
      <c r="I16" s="6"/>
      <c r="J16" s="73"/>
      <c r="K16" s="73"/>
      <c r="L16" s="73"/>
      <c r="P16" s="74"/>
      <c r="Q16" s="74"/>
      <c r="R16" s="74"/>
      <c r="S16" s="74"/>
      <c r="T16" s="75"/>
      <c r="U16" s="75"/>
      <c r="V16" s="3"/>
      <c r="W16" s="3"/>
      <c r="Y16" s="74"/>
      <c r="Z16" s="74"/>
      <c r="AA16" s="74"/>
      <c r="AB16" s="74"/>
      <c r="AG16" s="4"/>
      <c r="AH16" s="4"/>
    </row>
    <row r="17" spans="1:34">
      <c r="A17" s="1"/>
      <c r="B17" s="1"/>
      <c r="C17" s="67"/>
      <c r="D17" s="1"/>
      <c r="E17" s="2"/>
      <c r="F17" s="94"/>
      <c r="G17" s="2"/>
      <c r="H17" s="2"/>
      <c r="I17" s="6"/>
      <c r="J17" s="73"/>
      <c r="K17" s="73"/>
      <c r="L17" s="73"/>
      <c r="M17" s="76" t="s">
        <v>41</v>
      </c>
      <c r="N17" s="76" t="s">
        <v>41</v>
      </c>
      <c r="O17" s="76" t="s">
        <v>41</v>
      </c>
      <c r="P17" s="76" t="s">
        <v>41</v>
      </c>
      <c r="Q17" s="76" t="s">
        <v>41</v>
      </c>
      <c r="R17" s="76" t="s">
        <v>41</v>
      </c>
      <c r="S17" s="76" t="s">
        <v>41</v>
      </c>
      <c r="T17" s="76" t="s">
        <v>41</v>
      </c>
      <c r="U17" s="76" t="s">
        <v>41</v>
      </c>
      <c r="V17" s="76" t="s">
        <v>41</v>
      </c>
      <c r="W17" s="76" t="s">
        <v>41</v>
      </c>
      <c r="X17" s="77" t="s">
        <v>42</v>
      </c>
      <c r="Y17" s="77" t="s">
        <v>42</v>
      </c>
      <c r="Z17" s="77" t="s">
        <v>42</v>
      </c>
      <c r="AA17" s="77" t="s">
        <v>42</v>
      </c>
      <c r="AB17" s="77" t="s">
        <v>42</v>
      </c>
      <c r="AC17" s="77" t="s">
        <v>42</v>
      </c>
      <c r="AD17" s="77" t="s">
        <v>42</v>
      </c>
      <c r="AE17" s="77" t="s">
        <v>42</v>
      </c>
      <c r="AF17" s="77" t="s">
        <v>42</v>
      </c>
      <c r="AG17" s="77" t="s">
        <v>42</v>
      </c>
      <c r="AH17" s="77" t="s">
        <v>42</v>
      </c>
    </row>
    <row r="18" spans="1:34" outlineLevel="1">
      <c r="A18" s="1"/>
      <c r="B18" s="1"/>
      <c r="C18" s="1"/>
      <c r="D18" s="1"/>
      <c r="E18" s="2"/>
      <c r="F18" s="94"/>
      <c r="G18" s="2"/>
      <c r="H18" s="2"/>
      <c r="I18" s="6"/>
      <c r="J18" s="878" t="s">
        <v>43</v>
      </c>
      <c r="K18" s="879"/>
      <c r="L18" s="860"/>
      <c r="M18" s="79" t="s">
        <v>26</v>
      </c>
      <c r="N18" s="79" t="s">
        <v>15</v>
      </c>
      <c r="O18" s="79" t="s">
        <v>16</v>
      </c>
      <c r="P18" s="79" t="s">
        <v>17</v>
      </c>
      <c r="Q18" s="80" t="s">
        <v>18</v>
      </c>
      <c r="R18" s="80" t="s">
        <v>19</v>
      </c>
      <c r="S18" s="80" t="s">
        <v>20</v>
      </c>
      <c r="T18" s="80" t="s">
        <v>21</v>
      </c>
      <c r="U18" s="80" t="s">
        <v>22</v>
      </c>
      <c r="V18" s="80" t="s">
        <v>23</v>
      </c>
      <c r="W18" s="80" t="s">
        <v>24</v>
      </c>
      <c r="X18" s="81" t="s">
        <v>25</v>
      </c>
      <c r="Y18" s="79" t="s">
        <v>26</v>
      </c>
      <c r="Z18" s="79" t="s">
        <v>15</v>
      </c>
      <c r="AA18" s="80" t="s">
        <v>16</v>
      </c>
      <c r="AB18" s="80" t="s">
        <v>17</v>
      </c>
      <c r="AC18" s="80" t="s">
        <v>18</v>
      </c>
      <c r="AD18" s="81" t="s">
        <v>19</v>
      </c>
      <c r="AE18" s="82" t="s">
        <v>20</v>
      </c>
      <c r="AF18" s="82" t="s">
        <v>21</v>
      </c>
      <c r="AG18" s="83" t="s">
        <v>22</v>
      </c>
      <c r="AH18" s="83" t="s">
        <v>23</v>
      </c>
    </row>
    <row r="19" spans="1:34" outlineLevel="1">
      <c r="A19" s="1"/>
      <c r="B19" s="1"/>
      <c r="C19" s="1"/>
      <c r="D19" s="1"/>
      <c r="E19" s="2"/>
      <c r="F19" s="2"/>
      <c r="G19" s="2"/>
      <c r="H19" s="2"/>
      <c r="I19" s="6"/>
      <c r="J19" s="880" t="s">
        <v>44</v>
      </c>
      <c r="K19" s="25">
        <v>676366</v>
      </c>
      <c r="L19" s="26" t="s">
        <v>29</v>
      </c>
      <c r="M19" s="84">
        <v>10091</v>
      </c>
      <c r="N19" s="84">
        <v>10170</v>
      </c>
      <c r="O19" s="84">
        <v>10429</v>
      </c>
      <c r="P19" s="84">
        <v>10538</v>
      </c>
      <c r="Q19" s="84">
        <v>10862</v>
      </c>
      <c r="R19" s="84">
        <v>7305</v>
      </c>
      <c r="S19" s="84">
        <v>8012</v>
      </c>
      <c r="T19" s="84">
        <v>6754</v>
      </c>
      <c r="U19" s="84">
        <v>7920</v>
      </c>
      <c r="V19" s="84">
        <v>8138</v>
      </c>
      <c r="W19" s="84">
        <v>8285</v>
      </c>
      <c r="X19" s="85">
        <v>9860</v>
      </c>
      <c r="Y19" s="86">
        <v>9466</v>
      </c>
      <c r="Z19" s="87">
        <v>9655</v>
      </c>
      <c r="AA19" s="87">
        <v>9945</v>
      </c>
      <c r="AB19" s="88">
        <v>10143</v>
      </c>
      <c r="AC19" s="84">
        <v>10448</v>
      </c>
      <c r="AD19" s="85">
        <v>10134</v>
      </c>
      <c r="AE19" s="89">
        <v>10337</v>
      </c>
      <c r="AF19" s="89">
        <v>10544</v>
      </c>
      <c r="AG19" s="90">
        <v>10649</v>
      </c>
      <c r="AH19" s="90">
        <v>10436</v>
      </c>
    </row>
    <row r="20" spans="1:34" outlineLevel="1">
      <c r="A20" s="1"/>
      <c r="B20" s="1"/>
      <c r="C20" s="1"/>
      <c r="D20" s="1"/>
      <c r="E20" s="2"/>
      <c r="F20" s="2"/>
      <c r="G20" s="2"/>
      <c r="H20" s="2"/>
      <c r="I20" s="6"/>
      <c r="J20" s="865"/>
      <c r="K20" s="25">
        <v>676367</v>
      </c>
      <c r="L20" s="26" t="s">
        <v>30</v>
      </c>
      <c r="M20" s="91">
        <v>6149</v>
      </c>
      <c r="N20" s="91">
        <v>6793</v>
      </c>
      <c r="O20" s="91">
        <v>6655</v>
      </c>
      <c r="P20" s="91">
        <v>6740</v>
      </c>
      <c r="Q20" s="91">
        <v>6647</v>
      </c>
      <c r="R20" s="91">
        <v>1972</v>
      </c>
      <c r="S20" s="91">
        <v>588</v>
      </c>
      <c r="T20" s="91">
        <v>2070</v>
      </c>
      <c r="U20" s="91">
        <v>2887</v>
      </c>
      <c r="V20" s="91">
        <v>3666</v>
      </c>
      <c r="W20" s="91">
        <v>3946</v>
      </c>
      <c r="X20" s="92">
        <v>4992</v>
      </c>
      <c r="Y20" s="87">
        <v>4792</v>
      </c>
      <c r="Z20" s="87">
        <v>4888</v>
      </c>
      <c r="AA20" s="87">
        <v>4986</v>
      </c>
      <c r="AB20" s="88">
        <v>5036</v>
      </c>
      <c r="AC20" s="91">
        <v>5187</v>
      </c>
      <c r="AD20" s="92">
        <v>4979</v>
      </c>
      <c r="AE20" s="86">
        <v>5079</v>
      </c>
      <c r="AF20" s="86">
        <v>5181</v>
      </c>
      <c r="AG20" s="93">
        <v>5284</v>
      </c>
      <c r="AH20" s="93">
        <v>5178</v>
      </c>
    </row>
    <row r="21" spans="1:34" outlineLevel="1">
      <c r="A21" s="1"/>
      <c r="B21" s="1"/>
      <c r="C21" s="1"/>
      <c r="D21" s="1"/>
      <c r="E21" s="2"/>
      <c r="F21" s="2"/>
      <c r="G21" s="2"/>
      <c r="H21" s="2"/>
      <c r="I21" s="6"/>
      <c r="J21" s="865"/>
      <c r="K21" s="46">
        <v>676369</v>
      </c>
      <c r="L21" s="47" t="s">
        <v>31</v>
      </c>
      <c r="M21" s="84">
        <v>1975</v>
      </c>
      <c r="N21" s="84">
        <v>2094</v>
      </c>
      <c r="O21" s="84">
        <v>2101</v>
      </c>
      <c r="P21" s="84">
        <v>1953</v>
      </c>
      <c r="Q21" s="84">
        <v>1892</v>
      </c>
      <c r="R21" s="84">
        <v>1785</v>
      </c>
      <c r="S21" s="84">
        <v>1922</v>
      </c>
      <c r="T21" s="84">
        <v>1407</v>
      </c>
      <c r="U21" s="84">
        <v>1512</v>
      </c>
      <c r="V21" s="84">
        <v>1161</v>
      </c>
      <c r="W21" s="84">
        <v>1086</v>
      </c>
      <c r="X21" s="92">
        <v>1168</v>
      </c>
      <c r="Y21" s="86">
        <v>1133</v>
      </c>
      <c r="Z21" s="87">
        <v>1144</v>
      </c>
      <c r="AA21" s="87">
        <v>1156</v>
      </c>
      <c r="AB21" s="88">
        <v>1167</v>
      </c>
      <c r="AC21" s="84">
        <v>1179</v>
      </c>
      <c r="AD21" s="92">
        <v>1155</v>
      </c>
      <c r="AE21" s="89">
        <v>1167</v>
      </c>
      <c r="AF21" s="89">
        <v>1179</v>
      </c>
      <c r="AG21" s="90">
        <v>1190</v>
      </c>
      <c r="AH21" s="90">
        <v>1155</v>
      </c>
    </row>
    <row r="22" spans="1:34" outlineLevel="1">
      <c r="A22" s="1"/>
      <c r="B22" s="1"/>
      <c r="C22" s="1"/>
      <c r="D22" s="1"/>
      <c r="E22" s="2"/>
      <c r="F22" s="2"/>
      <c r="G22" s="2"/>
      <c r="H22" s="2"/>
      <c r="I22" s="6"/>
      <c r="J22" s="865"/>
      <c r="K22" s="52">
        <v>677211</v>
      </c>
      <c r="L22" s="53" t="s">
        <v>33</v>
      </c>
      <c r="M22" s="84">
        <v>26395</v>
      </c>
      <c r="N22" s="84">
        <v>18036</v>
      </c>
      <c r="O22" s="84">
        <v>19567</v>
      </c>
      <c r="P22" s="84">
        <v>21775</v>
      </c>
      <c r="Q22" s="84">
        <v>24094</v>
      </c>
      <c r="R22" s="84">
        <v>20361</v>
      </c>
      <c r="S22" s="84">
        <v>21905</v>
      </c>
      <c r="T22" s="84">
        <v>22294</v>
      </c>
      <c r="U22" s="84">
        <v>24686</v>
      </c>
      <c r="V22" s="84">
        <v>25134</v>
      </c>
      <c r="W22" s="84">
        <v>30239</v>
      </c>
      <c r="X22" s="92">
        <v>35414</v>
      </c>
      <c r="Y22" s="86">
        <v>34352</v>
      </c>
      <c r="Z22" s="87">
        <v>35039</v>
      </c>
      <c r="AA22" s="87">
        <v>36090</v>
      </c>
      <c r="AB22" s="88">
        <v>37172</v>
      </c>
      <c r="AC22" s="84">
        <v>38288</v>
      </c>
      <c r="AD22" s="92">
        <v>37522</v>
      </c>
      <c r="AE22" s="89">
        <v>38272</v>
      </c>
      <c r="AF22" s="89">
        <v>39038</v>
      </c>
      <c r="AG22" s="90">
        <v>39819</v>
      </c>
      <c r="AH22" s="90">
        <v>40615</v>
      </c>
    </row>
    <row r="23" spans="1:34" outlineLevel="1">
      <c r="A23" s="1"/>
      <c r="B23" s="1"/>
      <c r="D23" s="1"/>
      <c r="E23" s="2"/>
      <c r="F23" s="2"/>
      <c r="G23" s="2"/>
      <c r="H23" s="2"/>
      <c r="I23" s="6"/>
      <c r="J23" s="865"/>
      <c r="K23" s="52">
        <v>677200</v>
      </c>
      <c r="L23" s="53" t="s">
        <v>34</v>
      </c>
      <c r="M23" s="84">
        <v>9582</v>
      </c>
      <c r="N23" s="84">
        <v>11036</v>
      </c>
      <c r="O23" s="84">
        <v>10102</v>
      </c>
      <c r="P23" s="84">
        <v>10640</v>
      </c>
      <c r="Q23" s="84">
        <v>11504</v>
      </c>
      <c r="R23" s="84">
        <v>10237</v>
      </c>
      <c r="S23" s="84">
        <v>13952</v>
      </c>
      <c r="T23" s="84">
        <v>13606</v>
      </c>
      <c r="U23" s="84">
        <v>14459</v>
      </c>
      <c r="V23" s="84">
        <v>12631</v>
      </c>
      <c r="W23" s="84">
        <v>15942</v>
      </c>
      <c r="X23" s="92">
        <v>18091</v>
      </c>
      <c r="Y23" s="86">
        <v>17910</v>
      </c>
      <c r="Z23" s="87">
        <v>18447</v>
      </c>
      <c r="AA23" s="87">
        <v>19185</v>
      </c>
      <c r="AB23" s="88">
        <v>19953</v>
      </c>
      <c r="AC23" s="84">
        <v>20551</v>
      </c>
      <c r="AD23" s="92">
        <v>20757</v>
      </c>
      <c r="AE23" s="89">
        <v>21172</v>
      </c>
      <c r="AF23" s="89">
        <v>21595</v>
      </c>
      <c r="AG23" s="90">
        <v>22027</v>
      </c>
      <c r="AH23" s="90">
        <v>22248</v>
      </c>
    </row>
    <row r="24" spans="1:34" outlineLevel="1">
      <c r="A24" s="1"/>
      <c r="B24" s="1"/>
      <c r="C24" s="1"/>
      <c r="D24" s="1"/>
      <c r="E24" s="2"/>
      <c r="F24" s="2"/>
      <c r="G24" s="2"/>
      <c r="H24" s="2"/>
      <c r="I24" s="6"/>
      <c r="J24" s="865"/>
      <c r="K24" s="56">
        <v>677281</v>
      </c>
      <c r="L24" s="57" t="s">
        <v>35</v>
      </c>
      <c r="M24" s="84">
        <v>2881</v>
      </c>
      <c r="N24" s="84">
        <v>3060</v>
      </c>
      <c r="O24" s="84">
        <v>3108</v>
      </c>
      <c r="P24" s="84">
        <v>3172</v>
      </c>
      <c r="Q24" s="84">
        <v>3248</v>
      </c>
      <c r="R24" s="84">
        <v>2466</v>
      </c>
      <c r="S24" s="84">
        <v>2899</v>
      </c>
      <c r="T24" s="84">
        <v>2728</v>
      </c>
      <c r="U24" s="84">
        <v>2877</v>
      </c>
      <c r="V24" s="84">
        <v>2182</v>
      </c>
      <c r="W24" s="84">
        <v>3461</v>
      </c>
      <c r="X24" s="92">
        <v>3331</v>
      </c>
      <c r="Y24" s="86">
        <v>3264</v>
      </c>
      <c r="Z24" s="87">
        <v>3297</v>
      </c>
      <c r="AA24" s="87">
        <v>3198</v>
      </c>
      <c r="AB24" s="88">
        <v>3230</v>
      </c>
      <c r="AC24" s="84">
        <v>3262</v>
      </c>
      <c r="AD24" s="92">
        <v>3197</v>
      </c>
      <c r="AE24" s="89">
        <v>3229</v>
      </c>
      <c r="AF24" s="89">
        <v>3261</v>
      </c>
      <c r="AG24" s="90">
        <v>3294</v>
      </c>
      <c r="AH24" s="90">
        <v>3327</v>
      </c>
    </row>
    <row r="25" spans="1:34" outlineLevel="1">
      <c r="A25" s="1"/>
      <c r="B25" s="1"/>
      <c r="C25" s="1"/>
      <c r="D25" s="1"/>
      <c r="E25" s="2"/>
      <c r="F25" s="2"/>
      <c r="G25" s="2"/>
      <c r="H25" s="2"/>
      <c r="I25" s="6"/>
      <c r="J25" s="866"/>
      <c r="K25" s="58">
        <v>560277</v>
      </c>
      <c r="L25" s="59" t="s">
        <v>36</v>
      </c>
      <c r="M25" s="97"/>
      <c r="N25" s="97"/>
      <c r="O25" s="97"/>
      <c r="P25" s="97"/>
      <c r="Q25" s="97">
        <v>284</v>
      </c>
      <c r="R25" s="97">
        <v>129</v>
      </c>
      <c r="S25" s="97">
        <v>22</v>
      </c>
      <c r="T25" s="97">
        <v>298</v>
      </c>
      <c r="U25" s="97">
        <v>133</v>
      </c>
      <c r="V25" s="97">
        <v>287</v>
      </c>
      <c r="W25" s="97">
        <v>329</v>
      </c>
      <c r="X25" s="98">
        <v>178</v>
      </c>
      <c r="Y25" s="97">
        <v>330</v>
      </c>
      <c r="Z25" s="99">
        <v>337</v>
      </c>
      <c r="AA25" s="99">
        <v>340</v>
      </c>
      <c r="AB25" s="97">
        <v>347</v>
      </c>
      <c r="AC25" s="97">
        <v>357</v>
      </c>
      <c r="AD25" s="98">
        <v>368</v>
      </c>
      <c r="AE25" s="97">
        <v>364</v>
      </c>
      <c r="AF25" s="99">
        <v>371</v>
      </c>
      <c r="AG25" s="100">
        <v>383</v>
      </c>
      <c r="AH25" s="100">
        <v>375</v>
      </c>
    </row>
    <row r="26" spans="1:34" outlineLevel="1">
      <c r="A26" s="1"/>
      <c r="B26" s="1"/>
      <c r="C26" s="1"/>
      <c r="D26" s="1"/>
      <c r="E26" s="2"/>
      <c r="F26" s="2"/>
      <c r="G26" s="2"/>
      <c r="H26" s="2"/>
      <c r="I26" s="6"/>
      <c r="J26" s="101"/>
      <c r="K26" s="881" t="s">
        <v>38</v>
      </c>
      <c r="L26" s="870"/>
      <c r="M26" s="80">
        <f t="shared" ref="M26:P26" si="7">SUM(M19:M24)</f>
        <v>57073</v>
      </c>
      <c r="N26" s="80">
        <f t="shared" si="7"/>
        <v>51189</v>
      </c>
      <c r="O26" s="80">
        <f t="shared" si="7"/>
        <v>51962</v>
      </c>
      <c r="P26" s="80">
        <f t="shared" si="7"/>
        <v>54818</v>
      </c>
      <c r="Q26" s="80">
        <f t="shared" ref="Q26:AH26" si="8">SUM(Q19:Q25)</f>
        <v>58531</v>
      </c>
      <c r="R26" s="80">
        <f t="shared" si="8"/>
        <v>44255</v>
      </c>
      <c r="S26" s="80">
        <f t="shared" si="8"/>
        <v>49300</v>
      </c>
      <c r="T26" s="80">
        <f t="shared" si="8"/>
        <v>49157</v>
      </c>
      <c r="U26" s="80">
        <f t="shared" si="8"/>
        <v>54474</v>
      </c>
      <c r="V26" s="80">
        <f t="shared" si="8"/>
        <v>53199</v>
      </c>
      <c r="W26" s="80">
        <f t="shared" si="8"/>
        <v>63288</v>
      </c>
      <c r="X26" s="102">
        <f t="shared" si="8"/>
        <v>73034</v>
      </c>
      <c r="Y26" s="80">
        <f t="shared" si="8"/>
        <v>71247</v>
      </c>
      <c r="Z26" s="79">
        <f t="shared" si="8"/>
        <v>72807</v>
      </c>
      <c r="AA26" s="80">
        <f t="shared" si="8"/>
        <v>74900</v>
      </c>
      <c r="AB26" s="80">
        <f t="shared" si="8"/>
        <v>77048</v>
      </c>
      <c r="AC26" s="80">
        <f t="shared" si="8"/>
        <v>79272</v>
      </c>
      <c r="AD26" s="102">
        <f t="shared" si="8"/>
        <v>78112</v>
      </c>
      <c r="AE26" s="80">
        <f t="shared" si="8"/>
        <v>79620</v>
      </c>
      <c r="AF26" s="80">
        <f t="shared" si="8"/>
        <v>81169</v>
      </c>
      <c r="AG26" s="103">
        <f t="shared" si="8"/>
        <v>82646</v>
      </c>
      <c r="AH26" s="103">
        <f t="shared" si="8"/>
        <v>83334</v>
      </c>
    </row>
    <row r="27" spans="1:34">
      <c r="A27" s="1"/>
      <c r="B27" s="1"/>
      <c r="C27" s="1"/>
      <c r="D27" s="1"/>
      <c r="E27" s="2"/>
      <c r="F27" s="2"/>
      <c r="G27" s="2"/>
      <c r="H27" s="2"/>
      <c r="I27" s="6"/>
      <c r="J27" s="73"/>
      <c r="K27" s="73"/>
      <c r="L27" s="73"/>
      <c r="M27" s="104"/>
      <c r="N27" s="104"/>
      <c r="O27" s="104"/>
      <c r="P27" s="104"/>
      <c r="Q27" s="104"/>
      <c r="R27" s="104"/>
      <c r="S27" s="104"/>
      <c r="T27" s="104"/>
      <c r="U27" s="104"/>
      <c r="V27" s="67">
        <f t="shared" ref="V27:AH27" si="9">SUM(V19:V24)</f>
        <v>52912</v>
      </c>
      <c r="W27" s="67">
        <f t="shared" si="9"/>
        <v>62959</v>
      </c>
      <c r="X27" s="67">
        <f t="shared" si="9"/>
        <v>72856</v>
      </c>
      <c r="Y27" s="67">
        <f t="shared" si="9"/>
        <v>70917</v>
      </c>
      <c r="Z27" s="67">
        <f t="shared" si="9"/>
        <v>72470</v>
      </c>
      <c r="AA27" s="67">
        <f t="shared" si="9"/>
        <v>74560</v>
      </c>
      <c r="AB27" s="67">
        <f t="shared" si="9"/>
        <v>76701</v>
      </c>
      <c r="AC27" s="67">
        <f t="shared" si="9"/>
        <v>78915</v>
      </c>
      <c r="AD27" s="67">
        <f t="shared" si="9"/>
        <v>77744</v>
      </c>
      <c r="AE27" s="67">
        <f t="shared" si="9"/>
        <v>79256</v>
      </c>
      <c r="AF27" s="67">
        <f t="shared" si="9"/>
        <v>80798</v>
      </c>
      <c r="AG27" s="105">
        <f t="shared" si="9"/>
        <v>82263</v>
      </c>
      <c r="AH27" s="105">
        <f t="shared" si="9"/>
        <v>82959</v>
      </c>
    </row>
    <row r="28" spans="1:34">
      <c r="A28" s="1"/>
      <c r="B28" s="1"/>
      <c r="C28" s="1"/>
      <c r="D28" s="1"/>
      <c r="E28" s="2"/>
      <c r="F28" s="2"/>
      <c r="G28" s="2"/>
      <c r="H28" s="2"/>
      <c r="I28" s="6"/>
      <c r="J28" s="73"/>
      <c r="K28" s="73"/>
      <c r="L28" s="73"/>
      <c r="AG28" s="4"/>
      <c r="AH28" s="4"/>
    </row>
    <row r="29" spans="1:34" ht="15.75" customHeight="1" outlineLevel="1">
      <c r="A29" s="106" t="s">
        <v>45</v>
      </c>
      <c r="B29" s="106" t="s">
        <v>46</v>
      </c>
      <c r="C29" s="107" t="s">
        <v>47</v>
      </c>
      <c r="D29" s="106" t="s">
        <v>48</v>
      </c>
      <c r="E29" s="106" t="s">
        <v>52</v>
      </c>
      <c r="F29" s="108" t="s">
        <v>53</v>
      </c>
      <c r="G29" s="109" t="s">
        <v>50</v>
      </c>
      <c r="I29" s="6"/>
      <c r="J29" s="882" t="s">
        <v>51</v>
      </c>
      <c r="K29" s="879"/>
      <c r="L29" s="860"/>
      <c r="M29" s="110" t="s">
        <v>14</v>
      </c>
      <c r="N29" s="110" t="s">
        <v>15</v>
      </c>
      <c r="O29" s="110" t="s">
        <v>16</v>
      </c>
      <c r="P29" s="110" t="s">
        <v>17</v>
      </c>
      <c r="Q29" s="110" t="s">
        <v>18</v>
      </c>
      <c r="R29" s="110" t="s">
        <v>19</v>
      </c>
      <c r="S29" s="110" t="s">
        <v>20</v>
      </c>
      <c r="T29" s="110" t="s">
        <v>21</v>
      </c>
      <c r="U29" s="110" t="s">
        <v>22</v>
      </c>
      <c r="V29" s="110" t="s">
        <v>23</v>
      </c>
      <c r="W29" s="110" t="s">
        <v>24</v>
      </c>
      <c r="X29" s="111" t="s">
        <v>25</v>
      </c>
      <c r="Y29" s="110" t="s">
        <v>26</v>
      </c>
      <c r="Z29" s="110" t="s">
        <v>15</v>
      </c>
      <c r="AA29" s="110" t="s">
        <v>16</v>
      </c>
      <c r="AB29" s="110" t="s">
        <v>17</v>
      </c>
      <c r="AC29" s="110" t="s">
        <v>18</v>
      </c>
      <c r="AD29" s="111" t="s">
        <v>19</v>
      </c>
      <c r="AE29" s="112" t="s">
        <v>20</v>
      </c>
      <c r="AF29" s="113" t="s">
        <v>21</v>
      </c>
      <c r="AG29" s="113" t="s">
        <v>22</v>
      </c>
      <c r="AH29" s="113" t="s">
        <v>23</v>
      </c>
    </row>
    <row r="30" spans="1:34" ht="15.75" customHeight="1" outlineLevel="1">
      <c r="A30" s="106">
        <v>39459</v>
      </c>
      <c r="B30" s="106">
        <v>10</v>
      </c>
      <c r="C30" s="106">
        <v>1408</v>
      </c>
      <c r="D30" s="106">
        <v>1</v>
      </c>
      <c r="E30" s="118">
        <v>1219</v>
      </c>
      <c r="F30" s="114">
        <f t="shared" ref="F30:F36" si="10">A30+B30+C30+D30+E30</f>
        <v>42097</v>
      </c>
      <c r="G30" s="106">
        <f t="shared" ref="G30:G36" si="11">F30-(X19/31*11)</f>
        <v>38598.290322580644</v>
      </c>
      <c r="H30" s="67">
        <f t="shared" ref="H30:H36" si="12">X30-G30</f>
        <v>-698.29032258064399</v>
      </c>
      <c r="I30" s="6"/>
      <c r="J30" s="876" t="s">
        <v>51</v>
      </c>
      <c r="K30" s="25">
        <v>676366</v>
      </c>
      <c r="L30" s="26" t="s">
        <v>29</v>
      </c>
      <c r="M30" s="116">
        <v>30844</v>
      </c>
      <c r="N30" s="117">
        <v>20669</v>
      </c>
      <c r="O30" s="117">
        <v>17050</v>
      </c>
      <c r="P30" s="117">
        <v>13685</v>
      </c>
      <c r="Q30" s="117">
        <v>10623</v>
      </c>
      <c r="R30" s="117">
        <v>3902</v>
      </c>
      <c r="S30" s="117">
        <v>9601</v>
      </c>
      <c r="T30" s="117">
        <v>3607</v>
      </c>
      <c r="U30" s="117">
        <v>39061</v>
      </c>
      <c r="V30" s="117">
        <v>42442</v>
      </c>
      <c r="W30" s="117">
        <v>47469</v>
      </c>
      <c r="X30" s="119">
        <v>37900</v>
      </c>
      <c r="Y30" s="116">
        <f t="shared" ref="Y30:AH30" si="13">X30+Y6-Y19</f>
        <v>28434</v>
      </c>
      <c r="Z30" s="116">
        <f t="shared" si="13"/>
        <v>18779</v>
      </c>
      <c r="AA30" s="116">
        <f t="shared" si="13"/>
        <v>21506</v>
      </c>
      <c r="AB30" s="116">
        <f t="shared" si="13"/>
        <v>11363</v>
      </c>
      <c r="AC30" s="117">
        <f t="shared" si="13"/>
        <v>7251</v>
      </c>
      <c r="AD30" s="119">
        <f t="shared" si="13"/>
        <v>16125</v>
      </c>
      <c r="AE30" s="116">
        <f t="shared" si="13"/>
        <v>5788</v>
      </c>
      <c r="AF30" s="116">
        <f t="shared" si="13"/>
        <v>-4756</v>
      </c>
      <c r="AG30" s="120">
        <f t="shared" si="13"/>
        <v>-15405</v>
      </c>
      <c r="AH30" s="120">
        <f t="shared" si="13"/>
        <v>-25841</v>
      </c>
    </row>
    <row r="31" spans="1:34" ht="15.75" customHeight="1" outlineLevel="1">
      <c r="A31" s="106">
        <v>24163</v>
      </c>
      <c r="B31" s="106">
        <v>136</v>
      </c>
      <c r="C31" s="106">
        <v>2452</v>
      </c>
      <c r="D31" s="106">
        <v>165</v>
      </c>
      <c r="E31" s="7">
        <v>432</v>
      </c>
      <c r="F31" s="114">
        <f t="shared" si="10"/>
        <v>27348</v>
      </c>
      <c r="G31" s="106">
        <f t="shared" si="11"/>
        <v>25576.645161290322</v>
      </c>
      <c r="H31" s="67">
        <f t="shared" si="12"/>
        <v>-166.64516129032199</v>
      </c>
      <c r="I31" s="6"/>
      <c r="J31" s="865"/>
      <c r="K31" s="25">
        <v>676367</v>
      </c>
      <c r="L31" s="26" t="s">
        <v>30</v>
      </c>
      <c r="M31" s="116">
        <v>36898</v>
      </c>
      <c r="N31" s="117">
        <v>36258</v>
      </c>
      <c r="O31" s="117">
        <v>30555</v>
      </c>
      <c r="P31" s="117">
        <v>29714</v>
      </c>
      <c r="Q31" s="117">
        <v>20343</v>
      </c>
      <c r="R31" s="117">
        <v>0</v>
      </c>
      <c r="S31" s="117">
        <v>6194</v>
      </c>
      <c r="T31" s="117">
        <v>9670</v>
      </c>
      <c r="U31" s="117">
        <v>14884</v>
      </c>
      <c r="V31" s="117">
        <v>10629</v>
      </c>
      <c r="W31" s="117">
        <v>23526</v>
      </c>
      <c r="X31" s="119">
        <v>25410</v>
      </c>
      <c r="Y31" s="116">
        <f t="shared" ref="Y31:AH31" si="14">X31+Y7-Y20</f>
        <v>20618</v>
      </c>
      <c r="Z31" s="116">
        <f t="shared" si="14"/>
        <v>15730</v>
      </c>
      <c r="AA31" s="116">
        <f t="shared" si="14"/>
        <v>10744</v>
      </c>
      <c r="AB31" s="116">
        <f t="shared" si="14"/>
        <v>5708</v>
      </c>
      <c r="AC31" s="117">
        <f t="shared" si="14"/>
        <v>6857</v>
      </c>
      <c r="AD31" s="119">
        <f t="shared" si="14"/>
        <v>8214</v>
      </c>
      <c r="AE31" s="116">
        <f t="shared" si="14"/>
        <v>9471</v>
      </c>
      <c r="AF31" s="116">
        <f t="shared" si="14"/>
        <v>4290</v>
      </c>
      <c r="AG31" s="120">
        <f t="shared" si="14"/>
        <v>-994</v>
      </c>
      <c r="AH31" s="120">
        <f t="shared" si="14"/>
        <v>-6172</v>
      </c>
    </row>
    <row r="32" spans="1:34" ht="15.75" customHeight="1" outlineLevel="1">
      <c r="A32" s="106">
        <v>8799</v>
      </c>
      <c r="B32" s="106">
        <v>286</v>
      </c>
      <c r="C32" s="106">
        <v>1020</v>
      </c>
      <c r="D32" s="106">
        <v>198</v>
      </c>
      <c r="E32" s="7">
        <v>0</v>
      </c>
      <c r="F32" s="114">
        <f t="shared" si="10"/>
        <v>10303</v>
      </c>
      <c r="G32" s="106">
        <f t="shared" si="11"/>
        <v>9888.5483870967746</v>
      </c>
      <c r="H32" s="67">
        <f t="shared" si="12"/>
        <v>165.4516129032254</v>
      </c>
      <c r="I32" s="6"/>
      <c r="J32" s="865"/>
      <c r="K32" s="46">
        <v>676369</v>
      </c>
      <c r="L32" s="47" t="s">
        <v>31</v>
      </c>
      <c r="M32" s="116">
        <v>9504</v>
      </c>
      <c r="N32" s="117">
        <v>13528</v>
      </c>
      <c r="O32" s="117">
        <v>11315</v>
      </c>
      <c r="P32" s="117">
        <v>9370</v>
      </c>
      <c r="Q32" s="117">
        <v>5587</v>
      </c>
      <c r="R32" s="117">
        <v>3807</v>
      </c>
      <c r="S32" s="117">
        <v>2641</v>
      </c>
      <c r="T32" s="117">
        <v>1780</v>
      </c>
      <c r="U32" s="117">
        <v>7358</v>
      </c>
      <c r="V32" s="117">
        <v>5628</v>
      </c>
      <c r="W32" s="117">
        <v>5062</v>
      </c>
      <c r="X32" s="119">
        <v>10054</v>
      </c>
      <c r="Y32" s="116">
        <f t="shared" ref="Y32:AH32" si="15">X32+Y8-Y21</f>
        <v>8921</v>
      </c>
      <c r="Z32" s="116">
        <f t="shared" si="15"/>
        <v>7777</v>
      </c>
      <c r="AA32" s="116">
        <f t="shared" si="15"/>
        <v>6621</v>
      </c>
      <c r="AB32" s="116">
        <f t="shared" si="15"/>
        <v>5454</v>
      </c>
      <c r="AC32" s="117">
        <f t="shared" si="15"/>
        <v>4275</v>
      </c>
      <c r="AD32" s="119">
        <f t="shared" si="15"/>
        <v>3120</v>
      </c>
      <c r="AE32" s="116">
        <f t="shared" si="15"/>
        <v>1953</v>
      </c>
      <c r="AF32" s="116">
        <f t="shared" si="15"/>
        <v>774</v>
      </c>
      <c r="AG32" s="120">
        <f t="shared" si="15"/>
        <v>-416</v>
      </c>
      <c r="AH32" s="120">
        <f t="shared" si="15"/>
        <v>-1571</v>
      </c>
    </row>
    <row r="33" spans="1:34" ht="15.75" customHeight="1" outlineLevel="1">
      <c r="A33" s="122">
        <v>17071</v>
      </c>
      <c r="B33" s="106">
        <v>0</v>
      </c>
      <c r="C33" s="106">
        <v>1760</v>
      </c>
      <c r="D33" s="106">
        <v>0</v>
      </c>
      <c r="E33" s="118">
        <v>1387</v>
      </c>
      <c r="F33" s="114">
        <f t="shared" si="10"/>
        <v>20218</v>
      </c>
      <c r="G33" s="106">
        <f t="shared" si="11"/>
        <v>7651.7419354838694</v>
      </c>
      <c r="H33" s="67">
        <f t="shared" si="12"/>
        <v>12206.258064516131</v>
      </c>
      <c r="I33" s="6"/>
      <c r="J33" s="865"/>
      <c r="K33" s="52">
        <v>677211</v>
      </c>
      <c r="L33" s="53" t="s">
        <v>33</v>
      </c>
      <c r="M33" s="116">
        <v>30317</v>
      </c>
      <c r="N33" s="117">
        <v>28612</v>
      </c>
      <c r="O33" s="117">
        <v>34273</v>
      </c>
      <c r="P33" s="117">
        <v>12108</v>
      </c>
      <c r="Q33" s="117">
        <v>47968</v>
      </c>
      <c r="R33" s="117">
        <v>45113</v>
      </c>
      <c r="S33" s="117">
        <v>49297</v>
      </c>
      <c r="T33" s="117">
        <v>28221</v>
      </c>
      <c r="U33" s="117">
        <v>42865</v>
      </c>
      <c r="V33" s="117">
        <v>38482</v>
      </c>
      <c r="W33" s="117">
        <v>23218</v>
      </c>
      <c r="X33" s="119">
        <v>19858</v>
      </c>
      <c r="Y33" s="116">
        <f t="shared" ref="Y33:AH33" si="16">X33+Y9-Y22</f>
        <v>65466</v>
      </c>
      <c r="Z33" s="116">
        <f t="shared" si="16"/>
        <v>50779</v>
      </c>
      <c r="AA33" s="116">
        <f t="shared" si="16"/>
        <v>62689</v>
      </c>
      <c r="AB33" s="116">
        <f t="shared" si="16"/>
        <v>53933</v>
      </c>
      <c r="AC33" s="117">
        <f t="shared" si="16"/>
        <v>92061</v>
      </c>
      <c r="AD33" s="119">
        <f t="shared" si="16"/>
        <v>112139</v>
      </c>
      <c r="AE33" s="116">
        <f t="shared" si="16"/>
        <v>73867</v>
      </c>
      <c r="AF33" s="116">
        <f t="shared" si="16"/>
        <v>34829</v>
      </c>
      <c r="AG33" s="120">
        <f t="shared" si="16"/>
        <v>-4990</v>
      </c>
      <c r="AH33" s="120">
        <f t="shared" si="16"/>
        <v>-45605</v>
      </c>
    </row>
    <row r="34" spans="1:34" ht="15.75" customHeight="1" outlineLevel="1">
      <c r="A34" s="122">
        <v>31105</v>
      </c>
      <c r="B34" s="124">
        <v>0</v>
      </c>
      <c r="C34" s="125">
        <v>2352</v>
      </c>
      <c r="D34" s="106">
        <v>5</v>
      </c>
      <c r="E34" s="7">
        <v>899</v>
      </c>
      <c r="F34" s="114">
        <f t="shared" si="10"/>
        <v>34361</v>
      </c>
      <c r="G34" s="106">
        <f t="shared" si="11"/>
        <v>27941.612903225807</v>
      </c>
      <c r="H34" s="67">
        <f t="shared" si="12"/>
        <v>2403.3870967741932</v>
      </c>
      <c r="I34" s="6"/>
      <c r="J34" s="865"/>
      <c r="K34" s="52">
        <v>677200</v>
      </c>
      <c r="L34" s="53" t="s">
        <v>34</v>
      </c>
      <c r="M34" s="116">
        <v>44579</v>
      </c>
      <c r="N34" s="117">
        <v>33292</v>
      </c>
      <c r="O34" s="117">
        <v>36167</v>
      </c>
      <c r="P34" s="117">
        <v>26193</v>
      </c>
      <c r="Q34" s="117">
        <v>43047</v>
      </c>
      <c r="R34" s="117">
        <v>51471</v>
      </c>
      <c r="S34" s="117">
        <v>39515</v>
      </c>
      <c r="T34" s="117">
        <v>33519</v>
      </c>
      <c r="U34" s="117">
        <v>18531</v>
      </c>
      <c r="V34" s="117">
        <v>6669</v>
      </c>
      <c r="W34" s="117">
        <v>37433</v>
      </c>
      <c r="X34" s="119">
        <v>30345</v>
      </c>
      <c r="Y34" s="116">
        <f t="shared" ref="Y34:AH34" si="17">X34+Y10-Y23</f>
        <v>38651</v>
      </c>
      <c r="Z34" s="116">
        <f t="shared" si="17"/>
        <v>31724</v>
      </c>
      <c r="AA34" s="116">
        <f t="shared" si="17"/>
        <v>37435</v>
      </c>
      <c r="AB34" s="116">
        <f t="shared" si="17"/>
        <v>28618</v>
      </c>
      <c r="AC34" s="117">
        <f t="shared" si="17"/>
        <v>34947</v>
      </c>
      <c r="AD34" s="119">
        <f t="shared" si="17"/>
        <v>48750</v>
      </c>
      <c r="AE34" s="116">
        <f t="shared" si="17"/>
        <v>27578</v>
      </c>
      <c r="AF34" s="116">
        <f t="shared" si="17"/>
        <v>5983</v>
      </c>
      <c r="AG34" s="120">
        <f t="shared" si="17"/>
        <v>-16044</v>
      </c>
      <c r="AH34" s="120">
        <f t="shared" si="17"/>
        <v>-38292</v>
      </c>
    </row>
    <row r="35" spans="1:34" ht="15.75" customHeight="1" outlineLevel="1">
      <c r="A35" s="106">
        <v>6193</v>
      </c>
      <c r="B35" s="124">
        <v>115</v>
      </c>
      <c r="C35" s="125">
        <v>1788</v>
      </c>
      <c r="D35" s="106">
        <v>7</v>
      </c>
      <c r="E35" s="7">
        <v>0</v>
      </c>
      <c r="F35" s="114">
        <f t="shared" si="10"/>
        <v>8103</v>
      </c>
      <c r="G35" s="106">
        <f t="shared" si="11"/>
        <v>6921.0322580645161</v>
      </c>
      <c r="H35" s="67">
        <f t="shared" si="12"/>
        <v>2820.9677419354839</v>
      </c>
      <c r="I35" s="6"/>
      <c r="J35" s="865"/>
      <c r="K35" s="56">
        <v>677281</v>
      </c>
      <c r="L35" s="57" t="s">
        <v>35</v>
      </c>
      <c r="M35" s="116">
        <v>16866</v>
      </c>
      <c r="N35" s="117">
        <v>13727</v>
      </c>
      <c r="O35" s="117">
        <v>19729</v>
      </c>
      <c r="P35" s="117">
        <v>16406</v>
      </c>
      <c r="Q35" s="117">
        <v>12636</v>
      </c>
      <c r="R35" s="117">
        <v>18546</v>
      </c>
      <c r="S35" s="117">
        <v>16659</v>
      </c>
      <c r="T35" s="117">
        <v>14687</v>
      </c>
      <c r="U35" s="117">
        <v>11366</v>
      </c>
      <c r="V35" s="117">
        <v>8797</v>
      </c>
      <c r="W35" s="117">
        <v>10467</v>
      </c>
      <c r="X35" s="119">
        <v>9742</v>
      </c>
      <c r="Y35" s="116">
        <f t="shared" ref="Y35:AH35" si="18">X35+Y11-Y24</f>
        <v>8902</v>
      </c>
      <c r="Z35" s="116">
        <f t="shared" si="18"/>
        <v>5605</v>
      </c>
      <c r="AA35" s="116">
        <f t="shared" si="18"/>
        <v>9927</v>
      </c>
      <c r="AB35" s="116">
        <f t="shared" si="18"/>
        <v>10921</v>
      </c>
      <c r="AC35" s="117">
        <f t="shared" si="18"/>
        <v>14955</v>
      </c>
      <c r="AD35" s="119">
        <f t="shared" si="18"/>
        <v>11758</v>
      </c>
      <c r="AE35" s="116">
        <f t="shared" si="18"/>
        <v>8529</v>
      </c>
      <c r="AF35" s="116">
        <f t="shared" si="18"/>
        <v>5268</v>
      </c>
      <c r="AG35" s="120">
        <f t="shared" si="18"/>
        <v>1974</v>
      </c>
      <c r="AH35" s="120">
        <f t="shared" si="18"/>
        <v>-1353</v>
      </c>
    </row>
    <row r="36" spans="1:34" ht="15.75" customHeight="1" outlineLevel="1">
      <c r="A36" s="106"/>
      <c r="B36" s="124"/>
      <c r="C36" s="125"/>
      <c r="D36" s="106"/>
      <c r="F36" s="114">
        <f t="shared" si="10"/>
        <v>0</v>
      </c>
      <c r="G36" s="106">
        <f t="shared" si="11"/>
        <v>-63.161290322580648</v>
      </c>
      <c r="H36" s="67">
        <f t="shared" si="12"/>
        <v>33732.161290322583</v>
      </c>
      <c r="I36" s="6"/>
      <c r="J36" s="865"/>
      <c r="K36" s="58">
        <v>560277</v>
      </c>
      <c r="L36" s="59" t="s">
        <v>36</v>
      </c>
      <c r="M36" s="116"/>
      <c r="N36" s="116"/>
      <c r="O36" s="116"/>
      <c r="P36" s="116">
        <f>O36+P12-P25</f>
        <v>6912</v>
      </c>
      <c r="Q36" s="116">
        <v>45869</v>
      </c>
      <c r="R36" s="116">
        <v>11717</v>
      </c>
      <c r="S36" s="116">
        <v>11671</v>
      </c>
      <c r="T36" s="116">
        <v>11347</v>
      </c>
      <c r="U36" s="116">
        <v>22844</v>
      </c>
      <c r="V36" s="116">
        <v>34353</v>
      </c>
      <c r="W36" s="116">
        <v>34023</v>
      </c>
      <c r="X36" s="119">
        <v>33669</v>
      </c>
      <c r="Y36" s="116">
        <f t="shared" ref="Y36:AH36" si="19">X36+Y12-Y25</f>
        <v>33339</v>
      </c>
      <c r="Z36" s="116">
        <f t="shared" si="19"/>
        <v>33002</v>
      </c>
      <c r="AA36" s="116">
        <f t="shared" si="19"/>
        <v>32662</v>
      </c>
      <c r="AB36" s="116">
        <f t="shared" si="19"/>
        <v>32315</v>
      </c>
      <c r="AC36" s="116">
        <f t="shared" si="19"/>
        <v>31958</v>
      </c>
      <c r="AD36" s="119">
        <f t="shared" si="19"/>
        <v>31590</v>
      </c>
      <c r="AE36" s="116">
        <f t="shared" si="19"/>
        <v>31226</v>
      </c>
      <c r="AF36" s="116">
        <f t="shared" si="19"/>
        <v>30855</v>
      </c>
      <c r="AG36" s="120">
        <f t="shared" si="19"/>
        <v>30472</v>
      </c>
      <c r="AH36" s="120">
        <f t="shared" si="19"/>
        <v>30097</v>
      </c>
    </row>
    <row r="37" spans="1:34" ht="15" outlineLevel="1">
      <c r="A37" s="128"/>
      <c r="B37" s="128"/>
      <c r="C37" s="128"/>
      <c r="D37" s="128"/>
      <c r="E37" s="129"/>
      <c r="F37" s="129"/>
      <c r="G37" s="129"/>
      <c r="H37" s="129"/>
      <c r="I37" s="6"/>
      <c r="J37" s="130"/>
      <c r="K37" s="874" t="s">
        <v>38</v>
      </c>
      <c r="L37" s="870"/>
      <c r="M37" s="131">
        <f t="shared" ref="M37:P37" si="20">SUM(M30:M35)</f>
        <v>169008</v>
      </c>
      <c r="N37" s="131">
        <f t="shared" si="20"/>
        <v>146086</v>
      </c>
      <c r="O37" s="131">
        <f t="shared" si="20"/>
        <v>149089</v>
      </c>
      <c r="P37" s="131">
        <f t="shared" si="20"/>
        <v>107476</v>
      </c>
      <c r="Q37" s="131">
        <f t="shared" ref="Q37:AH37" si="21">SUM(Q30:Q36)</f>
        <v>186073</v>
      </c>
      <c r="R37" s="131">
        <f t="shared" si="21"/>
        <v>134556</v>
      </c>
      <c r="S37" s="131">
        <f t="shared" si="21"/>
        <v>135578</v>
      </c>
      <c r="T37" s="131">
        <f t="shared" si="21"/>
        <v>102831</v>
      </c>
      <c r="U37" s="131">
        <f t="shared" si="21"/>
        <v>156909</v>
      </c>
      <c r="V37" s="131">
        <f t="shared" si="21"/>
        <v>147000</v>
      </c>
      <c r="W37" s="131">
        <f t="shared" si="21"/>
        <v>181198</v>
      </c>
      <c r="X37" s="132">
        <f t="shared" si="21"/>
        <v>166978</v>
      </c>
      <c r="Y37" s="131">
        <f t="shared" si="21"/>
        <v>204331</v>
      </c>
      <c r="Z37" s="131">
        <f t="shared" si="21"/>
        <v>163396</v>
      </c>
      <c r="AA37" s="131">
        <f t="shared" si="21"/>
        <v>181584</v>
      </c>
      <c r="AB37" s="131">
        <f t="shared" si="21"/>
        <v>148312</v>
      </c>
      <c r="AC37" s="131">
        <f t="shared" si="21"/>
        <v>192304</v>
      </c>
      <c r="AD37" s="132">
        <f t="shared" si="21"/>
        <v>231696</v>
      </c>
      <c r="AE37" s="131">
        <f t="shared" si="21"/>
        <v>158412</v>
      </c>
      <c r="AF37" s="131">
        <f t="shared" si="21"/>
        <v>77243</v>
      </c>
      <c r="AG37" s="131">
        <f t="shared" si="21"/>
        <v>-5403</v>
      </c>
      <c r="AH37" s="131">
        <f t="shared" si="21"/>
        <v>-88737</v>
      </c>
    </row>
    <row r="38" spans="1:34" ht="15">
      <c r="A38" s="133"/>
      <c r="B38" s="133"/>
      <c r="C38" s="133"/>
      <c r="D38" s="133"/>
      <c r="E38" s="129"/>
      <c r="F38" s="106"/>
      <c r="G38" s="106"/>
      <c r="H38" s="129"/>
      <c r="I38" s="6"/>
      <c r="J38" s="129"/>
      <c r="K38" s="129"/>
      <c r="L38" s="134" t="s">
        <v>54</v>
      </c>
      <c r="M38" s="129" t="s">
        <v>55</v>
      </c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35"/>
      <c r="AH38" s="135"/>
    </row>
    <row r="39" spans="1:34" ht="15" outlineLevel="1">
      <c r="A39" s="133"/>
      <c r="B39" s="133"/>
      <c r="C39" s="128"/>
      <c r="D39" s="133"/>
      <c r="E39" s="129"/>
      <c r="F39" s="129"/>
      <c r="G39" s="129"/>
      <c r="H39" s="129"/>
      <c r="I39" s="6"/>
      <c r="J39" s="875" t="s">
        <v>56</v>
      </c>
      <c r="K39" s="862"/>
      <c r="L39" s="862"/>
      <c r="M39" s="110" t="s">
        <v>14</v>
      </c>
      <c r="N39" s="110" t="s">
        <v>15</v>
      </c>
      <c r="O39" s="110" t="s">
        <v>16</v>
      </c>
      <c r="P39" s="110" t="s">
        <v>17</v>
      </c>
      <c r="Q39" s="110" t="s">
        <v>18</v>
      </c>
      <c r="R39" s="110" t="s">
        <v>19</v>
      </c>
      <c r="S39" s="110" t="s">
        <v>20</v>
      </c>
      <c r="T39" s="110" t="s">
        <v>21</v>
      </c>
      <c r="U39" s="110" t="s">
        <v>22</v>
      </c>
      <c r="V39" s="110" t="s">
        <v>23</v>
      </c>
      <c r="W39" s="110" t="s">
        <v>24</v>
      </c>
      <c r="X39" s="111" t="s">
        <v>25</v>
      </c>
      <c r="Y39" s="110" t="s">
        <v>26</v>
      </c>
      <c r="Z39" s="110" t="s">
        <v>15</v>
      </c>
      <c r="AA39" s="110" t="s">
        <v>16</v>
      </c>
      <c r="AB39" s="110" t="s">
        <v>17</v>
      </c>
      <c r="AC39" s="110" t="s">
        <v>18</v>
      </c>
      <c r="AD39" s="111" t="s">
        <v>19</v>
      </c>
      <c r="AE39" s="113" t="s">
        <v>20</v>
      </c>
      <c r="AF39" s="113" t="s">
        <v>21</v>
      </c>
      <c r="AG39" s="113" t="s">
        <v>22</v>
      </c>
      <c r="AH39" s="113" t="s">
        <v>23</v>
      </c>
    </row>
    <row r="40" spans="1:34" ht="15" outlineLevel="1">
      <c r="A40" s="133"/>
      <c r="B40" s="133"/>
      <c r="C40" s="128"/>
      <c r="D40" s="133"/>
      <c r="E40" s="129"/>
      <c r="F40" s="129"/>
      <c r="G40" s="129"/>
      <c r="H40" s="129"/>
      <c r="I40" s="6"/>
      <c r="J40" s="876" t="s">
        <v>57</v>
      </c>
      <c r="K40" s="25">
        <v>676366</v>
      </c>
      <c r="L40" s="26" t="s">
        <v>29</v>
      </c>
      <c r="M40" s="136">
        <f t="shared" ref="M40:AH40" si="22">M30/M19</f>
        <v>3.0565850758101276</v>
      </c>
      <c r="N40" s="136">
        <f t="shared" si="22"/>
        <v>2.0323500491642084</v>
      </c>
      <c r="O40" s="136">
        <f t="shared" si="22"/>
        <v>1.6348643206443572</v>
      </c>
      <c r="P40" s="136">
        <f t="shared" si="22"/>
        <v>1.2986335167963561</v>
      </c>
      <c r="Q40" s="136">
        <f t="shared" si="22"/>
        <v>0.9779966856932425</v>
      </c>
      <c r="R40" s="136">
        <f t="shared" si="22"/>
        <v>0.53415468856947301</v>
      </c>
      <c r="S40" s="136">
        <f t="shared" si="22"/>
        <v>1.1983275087368948</v>
      </c>
      <c r="T40" s="136">
        <f t="shared" si="22"/>
        <v>0.53405389398874736</v>
      </c>
      <c r="U40" s="136">
        <f t="shared" si="22"/>
        <v>4.9319444444444445</v>
      </c>
      <c r="V40" s="136">
        <f t="shared" si="22"/>
        <v>5.2152863111329566</v>
      </c>
      <c r="W40" s="136">
        <f t="shared" si="22"/>
        <v>5.7295111647555821</v>
      </c>
      <c r="X40" s="137">
        <f t="shared" si="22"/>
        <v>3.8438133874239351</v>
      </c>
      <c r="Y40" s="136">
        <f t="shared" si="22"/>
        <v>3.0038030847242765</v>
      </c>
      <c r="Z40" s="136">
        <f t="shared" si="22"/>
        <v>1.9450025893319522</v>
      </c>
      <c r="AA40" s="136">
        <f t="shared" si="22"/>
        <v>2.1624937154348918</v>
      </c>
      <c r="AB40" s="136">
        <f t="shared" si="22"/>
        <v>1.1202799960563936</v>
      </c>
      <c r="AC40" s="136">
        <f t="shared" si="22"/>
        <v>0.69400842266462481</v>
      </c>
      <c r="AD40" s="137">
        <f t="shared" si="22"/>
        <v>1.5911782119597395</v>
      </c>
      <c r="AE40" s="136">
        <f t="shared" si="22"/>
        <v>0.55993034729612068</v>
      </c>
      <c r="AF40" s="136">
        <f t="shared" si="22"/>
        <v>-0.45106221547799696</v>
      </c>
      <c r="AG40" s="138">
        <f t="shared" si="22"/>
        <v>-1.4466147056061602</v>
      </c>
      <c r="AH40" s="138">
        <f t="shared" si="22"/>
        <v>-2.4761402836335762</v>
      </c>
    </row>
    <row r="41" spans="1:34" ht="15" outlineLevel="1">
      <c r="A41" s="133"/>
      <c r="B41" s="133"/>
      <c r="C41" s="133"/>
      <c r="D41" s="133"/>
      <c r="E41" s="129"/>
      <c r="F41" s="129"/>
      <c r="G41" s="129"/>
      <c r="H41" s="129"/>
      <c r="I41" s="6"/>
      <c r="J41" s="865"/>
      <c r="K41" s="25">
        <v>676367</v>
      </c>
      <c r="L41" s="26" t="s">
        <v>30</v>
      </c>
      <c r="M41" s="136">
        <f t="shared" ref="M41:AH41" si="23">M31/M20</f>
        <v>6.0006505122784191</v>
      </c>
      <c r="N41" s="136">
        <f t="shared" si="23"/>
        <v>5.3375533637568084</v>
      </c>
      <c r="O41" s="136">
        <f t="shared" si="23"/>
        <v>4.5912847483095414</v>
      </c>
      <c r="P41" s="136">
        <f t="shared" si="23"/>
        <v>4.4086053412462904</v>
      </c>
      <c r="Q41" s="136">
        <f t="shared" si="23"/>
        <v>3.0604784113133743</v>
      </c>
      <c r="R41" s="136">
        <f t="shared" si="23"/>
        <v>0</v>
      </c>
      <c r="S41" s="136">
        <f t="shared" si="23"/>
        <v>10.534013605442176</v>
      </c>
      <c r="T41" s="136">
        <f t="shared" si="23"/>
        <v>4.6714975845410631</v>
      </c>
      <c r="U41" s="136">
        <f t="shared" si="23"/>
        <v>5.1555247661932802</v>
      </c>
      <c r="V41" s="136">
        <f t="shared" si="23"/>
        <v>2.8993453355155481</v>
      </c>
      <c r="W41" s="136">
        <f t="shared" si="23"/>
        <v>5.9619868220983276</v>
      </c>
      <c r="X41" s="137">
        <f t="shared" si="23"/>
        <v>5.0901442307692308</v>
      </c>
      <c r="Y41" s="136">
        <f t="shared" si="23"/>
        <v>4.3025876460767947</v>
      </c>
      <c r="Z41" s="136">
        <f t="shared" si="23"/>
        <v>3.2180851063829787</v>
      </c>
      <c r="AA41" s="136">
        <f t="shared" si="23"/>
        <v>2.1548335338949056</v>
      </c>
      <c r="AB41" s="136">
        <f t="shared" si="23"/>
        <v>1.1334392374900715</v>
      </c>
      <c r="AC41" s="136">
        <f t="shared" si="23"/>
        <v>1.3219587430113746</v>
      </c>
      <c r="AD41" s="137">
        <f t="shared" si="23"/>
        <v>1.6497288612171119</v>
      </c>
      <c r="AE41" s="136">
        <f t="shared" si="23"/>
        <v>1.8647371529828707</v>
      </c>
      <c r="AF41" s="136">
        <f t="shared" si="23"/>
        <v>0.82802547770700641</v>
      </c>
      <c r="AG41" s="139">
        <f t="shared" si="23"/>
        <v>-0.18811506434519304</v>
      </c>
      <c r="AH41" s="139">
        <f t="shared" si="23"/>
        <v>-1.1919660100424874</v>
      </c>
    </row>
    <row r="42" spans="1:34" ht="15" outlineLevel="1">
      <c r="A42" s="133"/>
      <c r="B42" s="133"/>
      <c r="C42" s="133"/>
      <c r="D42" s="133"/>
      <c r="E42" s="129"/>
      <c r="F42" s="129"/>
      <c r="G42" s="129"/>
      <c r="H42" s="129"/>
      <c r="I42" s="6"/>
      <c r="J42" s="865"/>
      <c r="K42" s="46">
        <v>676369</v>
      </c>
      <c r="L42" s="47" t="s">
        <v>31</v>
      </c>
      <c r="M42" s="136">
        <f t="shared" ref="M42:AH42" si="24">M32/M21</f>
        <v>4.8121518987341769</v>
      </c>
      <c r="N42" s="136">
        <f t="shared" si="24"/>
        <v>6.4603629417382997</v>
      </c>
      <c r="O42" s="136">
        <f t="shared" si="24"/>
        <v>5.3855306996668251</v>
      </c>
      <c r="P42" s="136">
        <f t="shared" si="24"/>
        <v>4.7977470558115716</v>
      </c>
      <c r="Q42" s="136">
        <f t="shared" si="24"/>
        <v>2.9529598308668077</v>
      </c>
      <c r="R42" s="136">
        <f t="shared" si="24"/>
        <v>2.1327731092436975</v>
      </c>
      <c r="S42" s="136">
        <f t="shared" si="24"/>
        <v>1.374089490114464</v>
      </c>
      <c r="T42" s="136">
        <f t="shared" si="24"/>
        <v>1.2651030561478323</v>
      </c>
      <c r="U42" s="136">
        <f t="shared" si="24"/>
        <v>4.8664021164021163</v>
      </c>
      <c r="V42" s="136">
        <f t="shared" si="24"/>
        <v>4.8475452196382429</v>
      </c>
      <c r="W42" s="136">
        <f t="shared" si="24"/>
        <v>4.6611418047882136</v>
      </c>
      <c r="X42" s="137">
        <f t="shared" si="24"/>
        <v>8.6078767123287676</v>
      </c>
      <c r="Y42" s="136">
        <f t="shared" si="24"/>
        <v>7.8737864077669899</v>
      </c>
      <c r="Z42" s="136">
        <f t="shared" si="24"/>
        <v>6.7980769230769234</v>
      </c>
      <c r="AA42" s="136">
        <f t="shared" si="24"/>
        <v>5.7275086505190309</v>
      </c>
      <c r="AB42" s="136">
        <f t="shared" si="24"/>
        <v>4.6735218508997427</v>
      </c>
      <c r="AC42" s="136">
        <f t="shared" si="24"/>
        <v>3.6259541984732824</v>
      </c>
      <c r="AD42" s="137">
        <f t="shared" si="24"/>
        <v>2.7012987012987013</v>
      </c>
      <c r="AE42" s="136">
        <f t="shared" si="24"/>
        <v>1.6735218508997429</v>
      </c>
      <c r="AF42" s="136">
        <f t="shared" si="24"/>
        <v>0.65648854961832059</v>
      </c>
      <c r="AG42" s="138">
        <f t="shared" si="24"/>
        <v>-0.34957983193277309</v>
      </c>
      <c r="AH42" s="138">
        <f t="shared" si="24"/>
        <v>-1.3601731601731601</v>
      </c>
    </row>
    <row r="43" spans="1:34" ht="15" outlineLevel="1">
      <c r="A43" s="140"/>
      <c r="B43" s="140"/>
      <c r="C43" s="140"/>
      <c r="D43" s="140"/>
      <c r="E43" s="2"/>
      <c r="F43" s="2"/>
      <c r="G43" s="2"/>
      <c r="H43" s="2"/>
      <c r="I43" s="6"/>
      <c r="J43" s="865"/>
      <c r="K43" s="52">
        <v>677211</v>
      </c>
      <c r="L43" s="53" t="s">
        <v>33</v>
      </c>
      <c r="M43" s="136">
        <f t="shared" ref="M43:AH43" si="25">M33/M22</f>
        <v>1.1485887478689145</v>
      </c>
      <c r="N43" s="136">
        <f t="shared" si="25"/>
        <v>1.5863827899756044</v>
      </c>
      <c r="O43" s="136">
        <f t="shared" si="25"/>
        <v>1.7515715234834159</v>
      </c>
      <c r="P43" s="136">
        <f t="shared" si="25"/>
        <v>0.55605051664753158</v>
      </c>
      <c r="Q43" s="136">
        <f t="shared" si="25"/>
        <v>1.990869096040508</v>
      </c>
      <c r="R43" s="136">
        <f t="shared" si="25"/>
        <v>2.2156573842149205</v>
      </c>
      <c r="S43" s="136">
        <f t="shared" si="25"/>
        <v>2.250490755535266</v>
      </c>
      <c r="T43" s="136">
        <f t="shared" si="25"/>
        <v>1.2658562842020276</v>
      </c>
      <c r="U43" s="136">
        <f t="shared" si="25"/>
        <v>1.7364093008182775</v>
      </c>
      <c r="V43" s="136">
        <f t="shared" si="25"/>
        <v>1.5310734463276836</v>
      </c>
      <c r="W43" s="136">
        <f t="shared" si="25"/>
        <v>0.76781639604484275</v>
      </c>
      <c r="X43" s="137">
        <f t="shared" si="25"/>
        <v>0.56073869091319817</v>
      </c>
      <c r="Y43" s="136">
        <f t="shared" si="25"/>
        <v>1.9057405682347461</v>
      </c>
      <c r="Z43" s="136">
        <f t="shared" si="25"/>
        <v>1.4492137332686434</v>
      </c>
      <c r="AA43" s="136">
        <f t="shared" si="25"/>
        <v>1.7370185646993628</v>
      </c>
      <c r="AB43" s="136">
        <f t="shared" si="25"/>
        <v>1.4509039061659315</v>
      </c>
      <c r="AC43" s="136">
        <f t="shared" si="25"/>
        <v>2.4044348098620976</v>
      </c>
      <c r="AD43" s="137">
        <f t="shared" si="25"/>
        <v>2.9886200095943711</v>
      </c>
      <c r="AE43" s="136">
        <f t="shared" si="25"/>
        <v>1.9300533026755853</v>
      </c>
      <c r="AF43" s="136">
        <f t="shared" si="25"/>
        <v>0.89218197653568321</v>
      </c>
      <c r="AG43" s="141">
        <f t="shared" si="25"/>
        <v>-0.12531705969512041</v>
      </c>
      <c r="AH43" s="141">
        <f t="shared" si="25"/>
        <v>-1.1228610119414009</v>
      </c>
    </row>
    <row r="44" spans="1:34" ht="15" outlineLevel="1">
      <c r="A44" s="1"/>
      <c r="B44" s="1"/>
      <c r="C44" s="1"/>
      <c r="D44" s="1"/>
      <c r="E44" s="2"/>
      <c r="F44" s="2"/>
      <c r="G44" s="2"/>
      <c r="H44" s="2"/>
      <c r="I44" s="6"/>
      <c r="J44" s="865"/>
      <c r="K44" s="52">
        <v>677200</v>
      </c>
      <c r="L44" s="53" t="s">
        <v>34</v>
      </c>
      <c r="M44" s="136">
        <f t="shared" ref="M44:AH44" si="26">M34/M23</f>
        <v>4.6523690252556875</v>
      </c>
      <c r="N44" s="136">
        <f t="shared" si="26"/>
        <v>3.0166727075027184</v>
      </c>
      <c r="O44" s="136">
        <f t="shared" si="26"/>
        <v>3.5801821421500692</v>
      </c>
      <c r="P44" s="136">
        <f t="shared" si="26"/>
        <v>2.4617481203007521</v>
      </c>
      <c r="Q44" s="136">
        <f t="shared" si="26"/>
        <v>3.7419158553546592</v>
      </c>
      <c r="R44" s="136">
        <f t="shared" si="26"/>
        <v>5.0279378724235615</v>
      </c>
      <c r="S44" s="136">
        <f t="shared" si="26"/>
        <v>2.8322104357798166</v>
      </c>
      <c r="T44" s="136">
        <f t="shared" si="26"/>
        <v>2.4635454946347202</v>
      </c>
      <c r="U44" s="136">
        <f t="shared" si="26"/>
        <v>1.2816239020679161</v>
      </c>
      <c r="V44" s="136">
        <f t="shared" si="26"/>
        <v>0.52798669939038878</v>
      </c>
      <c r="W44" s="136">
        <f t="shared" si="26"/>
        <v>2.3480742692259442</v>
      </c>
      <c r="X44" s="137">
        <f t="shared" si="26"/>
        <v>1.6773533801337681</v>
      </c>
      <c r="Y44" s="136">
        <f t="shared" si="26"/>
        <v>2.1580681183696258</v>
      </c>
      <c r="Z44" s="136">
        <f t="shared" si="26"/>
        <v>1.7197376267143709</v>
      </c>
      <c r="AA44" s="136">
        <f t="shared" si="26"/>
        <v>1.9512640083398489</v>
      </c>
      <c r="AB44" s="136">
        <f t="shared" si="26"/>
        <v>1.4342705357590337</v>
      </c>
      <c r="AC44" s="136">
        <f t="shared" si="26"/>
        <v>1.7005011921560995</v>
      </c>
      <c r="AD44" s="137">
        <f t="shared" si="26"/>
        <v>2.3486052897817604</v>
      </c>
      <c r="AE44" s="136">
        <f t="shared" si="26"/>
        <v>1.3025694313243907</v>
      </c>
      <c r="AF44" s="136">
        <f t="shared" si="26"/>
        <v>0.27705487381338273</v>
      </c>
      <c r="AG44" s="142">
        <f t="shared" si="26"/>
        <v>-0.72837880782675812</v>
      </c>
      <c r="AH44" s="142">
        <f t="shared" si="26"/>
        <v>-1.7211434735706581</v>
      </c>
    </row>
    <row r="45" spans="1:34" ht="15" outlineLevel="1">
      <c r="A45" s="1"/>
      <c r="B45" s="1"/>
      <c r="C45" s="1"/>
      <c r="D45" s="1"/>
      <c r="E45" s="2"/>
      <c r="F45" s="2"/>
      <c r="G45" s="2"/>
      <c r="H45" s="2"/>
      <c r="I45" s="6"/>
      <c r="J45" s="865"/>
      <c r="K45" s="56">
        <v>677281</v>
      </c>
      <c r="L45" s="57" t="s">
        <v>35</v>
      </c>
      <c r="M45" s="136">
        <f t="shared" ref="M45:AH45" si="27">M35/M24</f>
        <v>5.8542172856647001</v>
      </c>
      <c r="N45" s="136">
        <f t="shared" si="27"/>
        <v>4.4859477124183007</v>
      </c>
      <c r="O45" s="136">
        <f t="shared" si="27"/>
        <v>6.3478120978120982</v>
      </c>
      <c r="P45" s="136">
        <f t="shared" si="27"/>
        <v>5.1721311475409832</v>
      </c>
      <c r="Q45" s="136">
        <f t="shared" si="27"/>
        <v>3.8903940886699506</v>
      </c>
      <c r="R45" s="136">
        <f t="shared" si="27"/>
        <v>7.5206812652068127</v>
      </c>
      <c r="S45" s="136">
        <f t="shared" si="27"/>
        <v>5.7464642980338043</v>
      </c>
      <c r="T45" s="136">
        <f t="shared" si="27"/>
        <v>5.3837976539589443</v>
      </c>
      <c r="U45" s="136">
        <f t="shared" si="27"/>
        <v>3.9506430309350016</v>
      </c>
      <c r="V45" s="136">
        <f t="shared" si="27"/>
        <v>4.0316223648029332</v>
      </c>
      <c r="W45" s="136">
        <f t="shared" si="27"/>
        <v>3.0242704420687661</v>
      </c>
      <c r="X45" s="137">
        <f t="shared" si="27"/>
        <v>2.9246472530771541</v>
      </c>
      <c r="Y45" s="136">
        <f t="shared" si="27"/>
        <v>2.7273284313725492</v>
      </c>
      <c r="Z45" s="136">
        <f t="shared" si="27"/>
        <v>1.7000303306035791</v>
      </c>
      <c r="AA45" s="136">
        <f t="shared" si="27"/>
        <v>3.104127579737336</v>
      </c>
      <c r="AB45" s="136">
        <f t="shared" si="27"/>
        <v>3.3811145510835914</v>
      </c>
      <c r="AC45" s="136">
        <f t="shared" si="27"/>
        <v>4.5846106683016554</v>
      </c>
      <c r="AD45" s="137">
        <f t="shared" si="27"/>
        <v>3.677822959024085</v>
      </c>
      <c r="AE45" s="136">
        <f t="shared" si="27"/>
        <v>2.6413750387116752</v>
      </c>
      <c r="AF45" s="136">
        <f t="shared" si="27"/>
        <v>1.6154553817847286</v>
      </c>
      <c r="AG45" s="143">
        <f t="shared" si="27"/>
        <v>0.59927140255009104</v>
      </c>
      <c r="AH45" s="143">
        <f t="shared" si="27"/>
        <v>-0.40667267808836788</v>
      </c>
    </row>
    <row r="46" spans="1:34" ht="15" outlineLevel="1">
      <c r="A46" s="1"/>
      <c r="B46" s="1"/>
      <c r="C46" s="1"/>
      <c r="D46" s="1"/>
      <c r="E46" s="2"/>
      <c r="F46" s="2"/>
      <c r="G46" s="2"/>
      <c r="H46" s="2"/>
      <c r="I46" s="6"/>
      <c r="J46" s="865"/>
      <c r="K46" s="58">
        <v>560277</v>
      </c>
      <c r="L46" s="59" t="s">
        <v>36</v>
      </c>
      <c r="M46" s="144"/>
      <c r="N46" s="144"/>
      <c r="O46" s="144"/>
      <c r="P46" s="144"/>
      <c r="Q46" s="144"/>
      <c r="R46" s="116"/>
      <c r="S46" s="116"/>
      <c r="T46" s="116"/>
      <c r="U46" s="116"/>
      <c r="V46" s="136">
        <f t="shared" ref="V46:AH46" si="28">V36/V25</f>
        <v>119.69686411149826</v>
      </c>
      <c r="W46" s="136">
        <f t="shared" si="28"/>
        <v>103.41337386018238</v>
      </c>
      <c r="X46" s="137">
        <f t="shared" si="28"/>
        <v>189.15168539325842</v>
      </c>
      <c r="Y46" s="136">
        <f t="shared" si="28"/>
        <v>101.02727272727273</v>
      </c>
      <c r="Z46" s="136">
        <f t="shared" si="28"/>
        <v>97.928783382789319</v>
      </c>
      <c r="AA46" s="136">
        <f t="shared" si="28"/>
        <v>96.064705882352939</v>
      </c>
      <c r="AB46" s="136">
        <f t="shared" si="28"/>
        <v>93.126801152737755</v>
      </c>
      <c r="AC46" s="136">
        <f t="shared" si="28"/>
        <v>89.518207282913167</v>
      </c>
      <c r="AD46" s="137">
        <f t="shared" si="28"/>
        <v>85.842391304347828</v>
      </c>
      <c r="AE46" s="136">
        <f t="shared" si="28"/>
        <v>85.785714285714292</v>
      </c>
      <c r="AF46" s="136">
        <f t="shared" si="28"/>
        <v>83.167115902964966</v>
      </c>
      <c r="AG46" s="143">
        <f t="shared" si="28"/>
        <v>79.561357702349866</v>
      </c>
      <c r="AH46" s="143">
        <f t="shared" si="28"/>
        <v>80.25866666666667</v>
      </c>
    </row>
    <row r="47" spans="1:34" ht="15" outlineLevel="1">
      <c r="A47" s="1"/>
      <c r="B47" s="1"/>
      <c r="C47" s="1"/>
      <c r="D47" s="1"/>
      <c r="E47" s="2"/>
      <c r="F47" s="2"/>
      <c r="G47" s="2"/>
      <c r="H47" s="2"/>
      <c r="I47" s="6"/>
      <c r="J47" s="145"/>
      <c r="K47" s="877" t="s">
        <v>38</v>
      </c>
      <c r="L47" s="870"/>
      <c r="M47" s="146">
        <f t="shared" ref="M47:P47" si="29">AVERAGE(M40:M45)</f>
        <v>4.2540937576020044</v>
      </c>
      <c r="N47" s="146">
        <f t="shared" si="29"/>
        <v>3.8198782607593231</v>
      </c>
      <c r="O47" s="146">
        <f t="shared" si="29"/>
        <v>3.8818742553443841</v>
      </c>
      <c r="P47" s="146">
        <f t="shared" si="29"/>
        <v>3.1158192830572475</v>
      </c>
      <c r="Q47" s="146">
        <f t="shared" ref="Q47:AH47" si="30">AVERAGE(Q40:Q46)</f>
        <v>2.7691023279897569</v>
      </c>
      <c r="R47" s="146">
        <f t="shared" si="30"/>
        <v>2.9052007199430769</v>
      </c>
      <c r="S47" s="146">
        <f t="shared" si="30"/>
        <v>3.9892660156070701</v>
      </c>
      <c r="T47" s="146">
        <f t="shared" si="30"/>
        <v>2.597308994578889</v>
      </c>
      <c r="U47" s="146">
        <f t="shared" si="30"/>
        <v>3.6537579268101728</v>
      </c>
      <c r="V47" s="146">
        <f t="shared" si="30"/>
        <v>19.821389069758002</v>
      </c>
      <c r="W47" s="146">
        <f t="shared" si="30"/>
        <v>17.986596394166295</v>
      </c>
      <c r="X47" s="147">
        <f t="shared" si="30"/>
        <v>30.265179863986354</v>
      </c>
      <c r="Y47" s="146">
        <f t="shared" si="30"/>
        <v>17.57122671197396</v>
      </c>
      <c r="Z47" s="146">
        <f t="shared" si="30"/>
        <v>16.394132813166824</v>
      </c>
      <c r="AA47" s="146">
        <f t="shared" si="30"/>
        <v>16.128850276425474</v>
      </c>
      <c r="AB47" s="146">
        <f t="shared" si="30"/>
        <v>15.188618747170361</v>
      </c>
      <c r="AC47" s="146">
        <f t="shared" si="30"/>
        <v>14.835667902483186</v>
      </c>
      <c r="AD47" s="147">
        <f t="shared" si="30"/>
        <v>14.399949333889085</v>
      </c>
      <c r="AE47" s="146">
        <f t="shared" si="30"/>
        <v>13.679700201372096</v>
      </c>
      <c r="AF47" s="146">
        <f t="shared" si="30"/>
        <v>12.426465706706583</v>
      </c>
      <c r="AG47" s="146">
        <f t="shared" si="30"/>
        <v>11.04608909078485</v>
      </c>
      <c r="AH47" s="146">
        <f t="shared" si="30"/>
        <v>10.282815721316718</v>
      </c>
    </row>
    <row r="48" spans="1:34" ht="15">
      <c r="A48" s="1"/>
      <c r="B48" s="1"/>
      <c r="C48" s="1"/>
      <c r="D48" s="1"/>
      <c r="E48" s="2"/>
      <c r="F48" s="2"/>
      <c r="G48" s="2"/>
      <c r="H48" s="2"/>
      <c r="I48" s="6"/>
      <c r="J48" s="1"/>
      <c r="K48" s="3"/>
      <c r="L48" s="3"/>
      <c r="AF48" s="4"/>
      <c r="AG48" s="4"/>
    </row>
    <row r="49" spans="3:33" ht="12.75">
      <c r="E49" s="148"/>
      <c r="F49" s="148"/>
      <c r="G49" s="148"/>
      <c r="H49" s="148"/>
      <c r="AF49" s="4"/>
      <c r="AG49" s="4"/>
    </row>
    <row r="50" spans="3:33" ht="12.75">
      <c r="E50" s="148"/>
      <c r="F50" s="148"/>
      <c r="G50" s="148"/>
      <c r="H50" s="148"/>
      <c r="AF50" s="4"/>
      <c r="AG50" s="4"/>
    </row>
    <row r="51" spans="3:33" ht="12.75">
      <c r="E51" s="148"/>
      <c r="F51" s="148"/>
      <c r="G51" s="148"/>
      <c r="H51" s="148"/>
      <c r="AF51" s="4"/>
      <c r="AG51" s="4"/>
    </row>
    <row r="52" spans="3:33" ht="14.25">
      <c r="C52" s="149"/>
      <c r="E52" s="148"/>
      <c r="F52" s="148"/>
      <c r="G52" s="148"/>
      <c r="H52" s="148"/>
      <c r="AF52" s="4"/>
      <c r="AG52" s="4"/>
    </row>
    <row r="53" spans="3:33" ht="14.25">
      <c r="C53" s="149"/>
      <c r="E53" s="148"/>
      <c r="F53" s="148"/>
      <c r="G53" s="148"/>
      <c r="H53" s="148"/>
      <c r="AF53" s="4"/>
      <c r="AG53" s="4"/>
    </row>
    <row r="54" spans="3:33" ht="14.25">
      <c r="C54" s="149"/>
      <c r="E54" s="148"/>
      <c r="F54" s="148"/>
      <c r="G54" s="148"/>
      <c r="H54" s="148"/>
      <c r="AF54" s="4"/>
      <c r="AG54" s="4"/>
    </row>
    <row r="55" spans="3:33" ht="14.25">
      <c r="C55" s="149"/>
      <c r="E55" s="148"/>
      <c r="F55" s="148"/>
      <c r="G55" s="148"/>
      <c r="H55" s="148"/>
      <c r="AF55" s="4"/>
      <c r="AG55" s="4"/>
    </row>
    <row r="56" spans="3:33" ht="12.75">
      <c r="E56" s="148"/>
      <c r="F56" s="148"/>
      <c r="G56" s="148"/>
      <c r="H56" s="148"/>
      <c r="AF56" s="4"/>
      <c r="AG56" s="4"/>
    </row>
    <row r="57" spans="3:33" ht="12.75">
      <c r="E57" s="148"/>
      <c r="F57" s="148"/>
      <c r="G57" s="148"/>
      <c r="H57" s="148"/>
      <c r="AF57" s="4"/>
      <c r="AG57" s="4"/>
    </row>
    <row r="58" spans="3:33" ht="12.75">
      <c r="E58" s="148"/>
      <c r="F58" s="148"/>
      <c r="G58" s="148"/>
      <c r="H58" s="148"/>
      <c r="AF58" s="4"/>
      <c r="AG58" s="4"/>
    </row>
    <row r="59" spans="3:33" ht="12.75">
      <c r="E59" s="148"/>
      <c r="F59" s="148"/>
      <c r="G59" s="148"/>
      <c r="H59" s="148"/>
      <c r="AF59" s="4"/>
      <c r="AG59" s="4"/>
    </row>
    <row r="60" spans="3:33" ht="12.75">
      <c r="E60" s="148"/>
      <c r="F60" s="148"/>
      <c r="G60" s="148"/>
      <c r="H60" s="148"/>
      <c r="AF60" s="4"/>
      <c r="AG60" s="4"/>
    </row>
    <row r="61" spans="3:33" ht="12.75">
      <c r="E61" s="148"/>
      <c r="F61" s="148"/>
      <c r="G61" s="148"/>
      <c r="H61" s="148"/>
      <c r="AF61" s="4"/>
      <c r="AG61" s="4"/>
    </row>
    <row r="62" spans="3:33" ht="12.75">
      <c r="E62" s="148"/>
      <c r="F62" s="148"/>
      <c r="G62" s="148"/>
      <c r="H62" s="148"/>
      <c r="AF62" s="4"/>
      <c r="AG62" s="4"/>
    </row>
    <row r="63" spans="3:33" ht="12.75">
      <c r="E63" s="148"/>
      <c r="F63" s="148"/>
      <c r="G63" s="148"/>
      <c r="H63" s="148"/>
      <c r="AF63" s="4"/>
      <c r="AG63" s="4"/>
    </row>
    <row r="64" spans="3:33" ht="12.75">
      <c r="E64" s="148"/>
      <c r="F64" s="148"/>
      <c r="G64" s="148"/>
      <c r="H64" s="148"/>
      <c r="AF64" s="4"/>
      <c r="AG64" s="4"/>
    </row>
    <row r="65" spans="5:33" ht="12.75">
      <c r="E65" s="148"/>
      <c r="F65" s="148"/>
      <c r="G65" s="148"/>
      <c r="H65" s="148"/>
      <c r="AF65" s="4"/>
      <c r="AG65" s="4"/>
    </row>
    <row r="66" spans="5:33" ht="12.75">
      <c r="E66" s="148"/>
      <c r="F66" s="148"/>
      <c r="G66" s="148"/>
      <c r="H66" s="148"/>
      <c r="AF66" s="4"/>
      <c r="AG66" s="4"/>
    </row>
    <row r="67" spans="5:33" ht="12.75">
      <c r="E67" s="148"/>
      <c r="F67" s="148"/>
      <c r="G67" s="148"/>
      <c r="H67" s="148"/>
      <c r="AF67" s="4"/>
      <c r="AG67" s="4"/>
    </row>
    <row r="68" spans="5:33" ht="12.75">
      <c r="E68" s="148"/>
      <c r="F68" s="148"/>
      <c r="G68" s="148"/>
      <c r="H68" s="148"/>
      <c r="AF68" s="4"/>
      <c r="AG68" s="4"/>
    </row>
    <row r="69" spans="5:33" ht="12.75">
      <c r="E69" s="148"/>
      <c r="F69" s="148"/>
      <c r="G69" s="148"/>
      <c r="H69" s="148"/>
      <c r="AF69" s="4"/>
      <c r="AG69" s="4"/>
    </row>
    <row r="70" spans="5:33" ht="12.75">
      <c r="E70" s="148"/>
      <c r="F70" s="148"/>
      <c r="G70" s="148"/>
      <c r="H70" s="148"/>
      <c r="AF70" s="4"/>
      <c r="AG70" s="4"/>
    </row>
    <row r="71" spans="5:33" ht="12.75">
      <c r="E71" s="148"/>
      <c r="F71" s="148"/>
      <c r="G71" s="148"/>
      <c r="H71" s="148"/>
      <c r="AF71" s="4"/>
      <c r="AG71" s="4"/>
    </row>
    <row r="72" spans="5:33" ht="12.75">
      <c r="E72" s="148"/>
      <c r="F72" s="148"/>
      <c r="G72" s="148"/>
      <c r="H72" s="148"/>
      <c r="AF72" s="4"/>
      <c r="AG72" s="4"/>
    </row>
    <row r="73" spans="5:33" ht="12.75">
      <c r="E73" s="148"/>
      <c r="F73" s="148"/>
      <c r="G73" s="148"/>
      <c r="H73" s="148"/>
      <c r="AF73" s="4"/>
      <c r="AG73" s="4"/>
    </row>
    <row r="74" spans="5:33" ht="12.75">
      <c r="E74" s="148"/>
      <c r="F74" s="148"/>
      <c r="G74" s="148"/>
      <c r="H74" s="148"/>
      <c r="AF74" s="4"/>
      <c r="AG74" s="4"/>
    </row>
    <row r="75" spans="5:33" ht="12.75">
      <c r="E75" s="148"/>
      <c r="F75" s="148"/>
      <c r="G75" s="148"/>
      <c r="H75" s="148"/>
      <c r="AF75" s="4"/>
      <c r="AG75" s="4"/>
    </row>
    <row r="76" spans="5:33" ht="12.75">
      <c r="E76" s="148"/>
      <c r="F76" s="148"/>
      <c r="G76" s="148"/>
      <c r="H76" s="148"/>
      <c r="AF76" s="4"/>
      <c r="AG76" s="4"/>
    </row>
    <row r="77" spans="5:33" ht="12.75">
      <c r="E77" s="148"/>
      <c r="F77" s="148"/>
      <c r="G77" s="148"/>
      <c r="H77" s="148"/>
      <c r="AF77" s="4"/>
      <c r="AG77" s="4"/>
    </row>
    <row r="78" spans="5:33" ht="12.75">
      <c r="E78" s="148"/>
      <c r="F78" s="148"/>
      <c r="G78" s="148"/>
      <c r="H78" s="148"/>
      <c r="AF78" s="4"/>
      <c r="AG78" s="4"/>
    </row>
    <row r="79" spans="5:33" ht="12.75">
      <c r="E79" s="148"/>
      <c r="F79" s="148"/>
      <c r="G79" s="148"/>
      <c r="H79" s="148"/>
      <c r="AF79" s="4"/>
      <c r="AG79" s="4"/>
    </row>
    <row r="80" spans="5:33" ht="12.75">
      <c r="E80" s="148"/>
      <c r="F80" s="148"/>
      <c r="G80" s="148"/>
      <c r="H80" s="148"/>
      <c r="AF80" s="4"/>
      <c r="AG80" s="4"/>
    </row>
    <row r="81" spans="5:33" ht="12.75">
      <c r="E81" s="148"/>
      <c r="F81" s="148"/>
      <c r="G81" s="148"/>
      <c r="H81" s="148"/>
      <c r="AF81" s="4"/>
      <c r="AG81" s="4"/>
    </row>
    <row r="82" spans="5:33" ht="12.75">
      <c r="E82" s="148"/>
      <c r="F82" s="148"/>
      <c r="G82" s="148"/>
      <c r="H82" s="148"/>
      <c r="AF82" s="4"/>
      <c r="AG82" s="4"/>
    </row>
    <row r="83" spans="5:33" ht="12.75">
      <c r="E83" s="148"/>
      <c r="F83" s="148"/>
      <c r="G83" s="148"/>
      <c r="H83" s="148"/>
      <c r="AF83" s="4"/>
      <c r="AG83" s="4"/>
    </row>
    <row r="84" spans="5:33" ht="12.75">
      <c r="E84" s="148"/>
      <c r="F84" s="148"/>
      <c r="G84" s="148"/>
      <c r="H84" s="148"/>
      <c r="AF84" s="4"/>
      <c r="AG84" s="4"/>
    </row>
    <row r="85" spans="5:33" ht="12.75">
      <c r="E85" s="148"/>
      <c r="F85" s="148"/>
      <c r="G85" s="148"/>
      <c r="H85" s="148"/>
      <c r="AF85" s="4"/>
      <c r="AG85" s="4"/>
    </row>
    <row r="86" spans="5:33" ht="12.75">
      <c r="E86" s="148"/>
      <c r="F86" s="148"/>
      <c r="G86" s="148"/>
      <c r="H86" s="148"/>
      <c r="AF86" s="4"/>
      <c r="AG86" s="4"/>
    </row>
    <row r="87" spans="5:33" ht="12.75">
      <c r="E87" s="148"/>
      <c r="F87" s="148"/>
      <c r="G87" s="148"/>
      <c r="H87" s="148"/>
      <c r="AF87" s="4"/>
      <c r="AG87" s="4"/>
    </row>
    <row r="88" spans="5:33" ht="12.75">
      <c r="E88" s="148"/>
      <c r="F88" s="148"/>
      <c r="G88" s="148"/>
      <c r="H88" s="148"/>
      <c r="AF88" s="4"/>
      <c r="AG88" s="4"/>
    </row>
    <row r="89" spans="5:33" ht="12.75">
      <c r="E89" s="148"/>
      <c r="F89" s="148"/>
      <c r="G89" s="148"/>
      <c r="H89" s="148"/>
      <c r="AF89" s="4"/>
      <c r="AG89" s="4"/>
    </row>
    <row r="90" spans="5:33" ht="12.75">
      <c r="E90" s="148"/>
      <c r="F90" s="148"/>
      <c r="G90" s="148"/>
      <c r="H90" s="148"/>
      <c r="AF90" s="4"/>
      <c r="AG90" s="4"/>
    </row>
    <row r="91" spans="5:33" ht="12.75">
      <c r="E91" s="148"/>
      <c r="F91" s="148"/>
      <c r="G91" s="148"/>
      <c r="H91" s="148"/>
      <c r="AF91" s="4"/>
      <c r="AG91" s="4"/>
    </row>
    <row r="92" spans="5:33" ht="12.75">
      <c r="E92" s="148"/>
      <c r="F92" s="148"/>
      <c r="G92" s="148"/>
      <c r="H92" s="148"/>
      <c r="AF92" s="4"/>
      <c r="AG92" s="4"/>
    </row>
    <row r="93" spans="5:33" ht="12.75">
      <c r="E93" s="148"/>
      <c r="F93" s="148"/>
      <c r="G93" s="148"/>
      <c r="H93" s="148"/>
      <c r="AF93" s="4"/>
      <c r="AG93" s="4"/>
    </row>
    <row r="94" spans="5:33" ht="12.75">
      <c r="E94" s="148"/>
      <c r="F94" s="148"/>
      <c r="G94" s="148"/>
      <c r="H94" s="148"/>
      <c r="AF94" s="4"/>
      <c r="AG94" s="4"/>
    </row>
    <row r="95" spans="5:33" ht="12.75">
      <c r="E95" s="148"/>
      <c r="F95" s="148"/>
      <c r="G95" s="148"/>
      <c r="H95" s="148"/>
      <c r="AF95" s="4"/>
      <c r="AG95" s="4"/>
    </row>
    <row r="96" spans="5:33" ht="12.75">
      <c r="E96" s="148"/>
      <c r="F96" s="148"/>
      <c r="G96" s="148"/>
      <c r="H96" s="148"/>
      <c r="AF96" s="4"/>
      <c r="AG96" s="4"/>
    </row>
    <row r="97" spans="5:33" ht="12.75">
      <c r="E97" s="148"/>
      <c r="F97" s="148"/>
      <c r="G97" s="148"/>
      <c r="H97" s="148"/>
      <c r="AF97" s="4"/>
      <c r="AG97" s="4"/>
    </row>
    <row r="98" spans="5:33" ht="12.75">
      <c r="E98" s="148"/>
      <c r="F98" s="148"/>
      <c r="G98" s="148"/>
      <c r="H98" s="148"/>
      <c r="AF98" s="4"/>
      <c r="AG98" s="4"/>
    </row>
    <row r="99" spans="5:33" ht="12.75">
      <c r="E99" s="148"/>
      <c r="F99" s="148"/>
      <c r="G99" s="148"/>
      <c r="H99" s="148"/>
      <c r="AF99" s="4"/>
      <c r="AG99" s="4"/>
    </row>
    <row r="100" spans="5:33" ht="12.75">
      <c r="E100" s="148"/>
      <c r="F100" s="148"/>
      <c r="G100" s="148"/>
      <c r="H100" s="148"/>
      <c r="AF100" s="4"/>
      <c r="AG100" s="4"/>
    </row>
    <row r="101" spans="5:33" ht="12.75">
      <c r="E101" s="148"/>
      <c r="F101" s="148"/>
      <c r="G101" s="148"/>
      <c r="H101" s="148"/>
      <c r="AF101" s="4"/>
      <c r="AG101" s="4"/>
    </row>
    <row r="102" spans="5:33" ht="12.75">
      <c r="E102" s="148"/>
      <c r="F102" s="148"/>
      <c r="G102" s="148"/>
      <c r="H102" s="148"/>
      <c r="AF102" s="4"/>
      <c r="AG102" s="4"/>
    </row>
    <row r="103" spans="5:33" ht="12.75">
      <c r="E103" s="148"/>
      <c r="F103" s="148"/>
      <c r="G103" s="148"/>
      <c r="H103" s="148"/>
      <c r="AF103" s="4"/>
      <c r="AG103" s="4"/>
    </row>
    <row r="104" spans="5:33" ht="12.75">
      <c r="E104" s="148"/>
      <c r="F104" s="148"/>
      <c r="G104" s="148"/>
      <c r="H104" s="148"/>
      <c r="AF104" s="4"/>
      <c r="AG104" s="4"/>
    </row>
    <row r="105" spans="5:33" ht="12.75">
      <c r="E105" s="148"/>
      <c r="F105" s="148"/>
      <c r="G105" s="148"/>
      <c r="H105" s="148"/>
      <c r="AF105" s="4"/>
      <c r="AG105" s="4"/>
    </row>
    <row r="106" spans="5:33" ht="12.75">
      <c r="E106" s="148"/>
      <c r="F106" s="148"/>
      <c r="G106" s="148"/>
      <c r="H106" s="148"/>
      <c r="AF106" s="4"/>
      <c r="AG106" s="4"/>
    </row>
    <row r="107" spans="5:33" ht="12.75">
      <c r="E107" s="148"/>
      <c r="F107" s="148"/>
      <c r="G107" s="148"/>
      <c r="H107" s="148"/>
      <c r="AF107" s="4"/>
      <c r="AG107" s="4"/>
    </row>
    <row r="108" spans="5:33" ht="12.75">
      <c r="E108" s="148"/>
      <c r="F108" s="148"/>
      <c r="G108" s="148"/>
      <c r="H108" s="148"/>
      <c r="AF108" s="4"/>
      <c r="AG108" s="4"/>
    </row>
    <row r="109" spans="5:33" ht="12.75">
      <c r="E109" s="148"/>
      <c r="F109" s="148"/>
      <c r="G109" s="148"/>
      <c r="H109" s="148"/>
      <c r="AF109" s="4"/>
      <c r="AG109" s="4"/>
    </row>
    <row r="110" spans="5:33" ht="12.75">
      <c r="E110" s="148"/>
      <c r="F110" s="148"/>
      <c r="G110" s="148"/>
      <c r="H110" s="148"/>
      <c r="AF110" s="4"/>
      <c r="AG110" s="4"/>
    </row>
    <row r="111" spans="5:33" ht="12.75">
      <c r="E111" s="148"/>
      <c r="F111" s="148"/>
      <c r="G111" s="148"/>
      <c r="H111" s="148"/>
      <c r="AF111" s="4"/>
      <c r="AG111" s="4"/>
    </row>
    <row r="112" spans="5:33" ht="12.75">
      <c r="E112" s="148"/>
      <c r="F112" s="148"/>
      <c r="G112" s="148"/>
      <c r="H112" s="148"/>
      <c r="AF112" s="4"/>
      <c r="AG112" s="4"/>
    </row>
    <row r="113" spans="5:33" ht="12.75">
      <c r="E113" s="148"/>
      <c r="F113" s="148"/>
      <c r="G113" s="148"/>
      <c r="H113" s="148"/>
      <c r="AF113" s="4"/>
      <c r="AG113" s="4"/>
    </row>
    <row r="114" spans="5:33" ht="12.75">
      <c r="E114" s="148"/>
      <c r="F114" s="148"/>
      <c r="G114" s="148"/>
      <c r="H114" s="148"/>
      <c r="AF114" s="4"/>
      <c r="AG114" s="4"/>
    </row>
    <row r="115" spans="5:33" ht="12.75">
      <c r="E115" s="148"/>
      <c r="F115" s="148"/>
      <c r="G115" s="148"/>
      <c r="H115" s="148"/>
      <c r="AF115" s="4"/>
      <c r="AG115" s="4"/>
    </row>
    <row r="116" spans="5:33" ht="12.75">
      <c r="E116" s="148"/>
      <c r="F116" s="148"/>
      <c r="G116" s="148"/>
      <c r="H116" s="148"/>
      <c r="AF116" s="4"/>
      <c r="AG116" s="4"/>
    </row>
    <row r="117" spans="5:33" ht="12.75">
      <c r="E117" s="148"/>
      <c r="F117" s="148"/>
      <c r="G117" s="148"/>
      <c r="H117" s="148"/>
      <c r="AF117" s="4"/>
      <c r="AG117" s="4"/>
    </row>
    <row r="118" spans="5:33" ht="12.75">
      <c r="E118" s="148"/>
      <c r="F118" s="148"/>
      <c r="G118" s="148"/>
      <c r="H118" s="148"/>
      <c r="AF118" s="4"/>
      <c r="AG118" s="4"/>
    </row>
    <row r="119" spans="5:33" ht="12.75">
      <c r="E119" s="148"/>
      <c r="F119" s="148"/>
      <c r="G119" s="148"/>
      <c r="H119" s="148"/>
      <c r="AF119" s="4"/>
      <c r="AG119" s="4"/>
    </row>
    <row r="120" spans="5:33" ht="12.75">
      <c r="E120" s="148"/>
      <c r="F120" s="148"/>
      <c r="G120" s="148"/>
      <c r="H120" s="148"/>
      <c r="AF120" s="4"/>
      <c r="AG120" s="4"/>
    </row>
    <row r="121" spans="5:33" ht="12.75">
      <c r="E121" s="148"/>
      <c r="F121" s="148"/>
      <c r="G121" s="148"/>
      <c r="H121" s="148"/>
      <c r="AF121" s="4"/>
      <c r="AG121" s="4"/>
    </row>
    <row r="122" spans="5:33" ht="12.75">
      <c r="E122" s="148"/>
      <c r="F122" s="148"/>
      <c r="G122" s="148"/>
      <c r="H122" s="148"/>
      <c r="AF122" s="4"/>
      <c r="AG122" s="4"/>
    </row>
    <row r="123" spans="5:33" ht="12.75">
      <c r="E123" s="148"/>
      <c r="F123" s="148"/>
      <c r="G123" s="148"/>
      <c r="H123" s="148"/>
      <c r="AF123" s="4"/>
      <c r="AG123" s="4"/>
    </row>
    <row r="124" spans="5:33" ht="12.75">
      <c r="E124" s="148"/>
      <c r="F124" s="148"/>
      <c r="G124" s="148"/>
      <c r="H124" s="148"/>
      <c r="AF124" s="4"/>
      <c r="AG124" s="4"/>
    </row>
    <row r="125" spans="5:33" ht="12.75">
      <c r="E125" s="148"/>
      <c r="F125" s="148"/>
      <c r="G125" s="148"/>
      <c r="H125" s="148"/>
      <c r="AF125" s="4"/>
      <c r="AG125" s="4"/>
    </row>
    <row r="126" spans="5:33" ht="12.75">
      <c r="E126" s="148"/>
      <c r="F126" s="148"/>
      <c r="G126" s="148"/>
      <c r="H126" s="148"/>
      <c r="AF126" s="4"/>
      <c r="AG126" s="4"/>
    </row>
    <row r="127" spans="5:33" ht="12.75">
      <c r="E127" s="148"/>
      <c r="F127" s="148"/>
      <c r="G127" s="148"/>
      <c r="H127" s="148"/>
      <c r="AF127" s="4"/>
      <c r="AG127" s="4"/>
    </row>
    <row r="128" spans="5:33" ht="12.75">
      <c r="E128" s="148"/>
      <c r="F128" s="148"/>
      <c r="G128" s="148"/>
      <c r="H128" s="148"/>
      <c r="AF128" s="4"/>
      <c r="AG128" s="4"/>
    </row>
    <row r="129" spans="5:33" ht="12.75">
      <c r="E129" s="148"/>
      <c r="F129" s="148"/>
      <c r="G129" s="148"/>
      <c r="H129" s="148"/>
      <c r="AF129" s="4"/>
      <c r="AG129" s="4"/>
    </row>
    <row r="130" spans="5:33" ht="12.75">
      <c r="E130" s="148"/>
      <c r="F130" s="148"/>
      <c r="G130" s="148"/>
      <c r="H130" s="148"/>
      <c r="AF130" s="4"/>
      <c r="AG130" s="4"/>
    </row>
    <row r="131" spans="5:33" ht="12.75">
      <c r="E131" s="148"/>
      <c r="F131" s="148"/>
      <c r="G131" s="148"/>
      <c r="H131" s="148"/>
      <c r="AF131" s="4"/>
      <c r="AG131" s="4"/>
    </row>
    <row r="132" spans="5:33" ht="12.75">
      <c r="E132" s="148"/>
      <c r="F132" s="148"/>
      <c r="G132" s="148"/>
      <c r="H132" s="148"/>
      <c r="AF132" s="4"/>
      <c r="AG132" s="4"/>
    </row>
    <row r="133" spans="5:33" ht="12.75">
      <c r="E133" s="148"/>
      <c r="F133" s="148"/>
      <c r="G133" s="148"/>
      <c r="H133" s="148"/>
      <c r="AF133" s="4"/>
      <c r="AG133" s="4"/>
    </row>
    <row r="134" spans="5:33" ht="12.75">
      <c r="E134" s="148"/>
      <c r="F134" s="148"/>
      <c r="G134" s="148"/>
      <c r="H134" s="148"/>
      <c r="AF134" s="4"/>
      <c r="AG134" s="4"/>
    </row>
    <row r="135" spans="5:33" ht="12.75">
      <c r="E135" s="148"/>
      <c r="F135" s="148"/>
      <c r="G135" s="148"/>
      <c r="H135" s="148"/>
      <c r="AF135" s="4"/>
      <c r="AG135" s="4"/>
    </row>
    <row r="136" spans="5:33" ht="12.75">
      <c r="E136" s="148"/>
      <c r="F136" s="148"/>
      <c r="G136" s="148"/>
      <c r="H136" s="148"/>
      <c r="AF136" s="4"/>
      <c r="AG136" s="4"/>
    </row>
    <row r="137" spans="5:33" ht="12.75">
      <c r="E137" s="148"/>
      <c r="F137" s="148"/>
      <c r="G137" s="148"/>
      <c r="H137" s="148"/>
      <c r="AF137" s="4"/>
      <c r="AG137" s="4"/>
    </row>
    <row r="138" spans="5:33" ht="12.75">
      <c r="E138" s="148"/>
      <c r="F138" s="148"/>
      <c r="G138" s="148"/>
      <c r="H138" s="148"/>
      <c r="AF138" s="4"/>
      <c r="AG138" s="4"/>
    </row>
    <row r="139" spans="5:33" ht="12.75">
      <c r="E139" s="148"/>
      <c r="F139" s="148"/>
      <c r="G139" s="148"/>
      <c r="H139" s="148"/>
      <c r="AF139" s="4"/>
      <c r="AG139" s="4"/>
    </row>
    <row r="140" spans="5:33" ht="12.75">
      <c r="E140" s="148"/>
      <c r="F140" s="148"/>
      <c r="G140" s="148"/>
      <c r="H140" s="148"/>
      <c r="AF140" s="4"/>
      <c r="AG140" s="4"/>
    </row>
    <row r="141" spans="5:33" ht="12.75">
      <c r="E141" s="148"/>
      <c r="F141" s="148"/>
      <c r="G141" s="148"/>
      <c r="H141" s="148"/>
      <c r="AF141" s="4"/>
      <c r="AG141" s="4"/>
    </row>
    <row r="142" spans="5:33" ht="12.75">
      <c r="E142" s="148"/>
      <c r="F142" s="148"/>
      <c r="G142" s="148"/>
      <c r="H142" s="148"/>
      <c r="AF142" s="4"/>
      <c r="AG142" s="4"/>
    </row>
    <row r="143" spans="5:33" ht="12.75">
      <c r="E143" s="148"/>
      <c r="F143" s="148"/>
      <c r="G143" s="148"/>
      <c r="H143" s="148"/>
      <c r="AF143" s="4"/>
      <c r="AG143" s="4"/>
    </row>
    <row r="144" spans="5:33" ht="12.75">
      <c r="E144" s="148"/>
      <c r="F144" s="148"/>
      <c r="G144" s="148"/>
      <c r="H144" s="148"/>
      <c r="AF144" s="4"/>
      <c r="AG144" s="4"/>
    </row>
    <row r="145" spans="5:33" ht="12.75">
      <c r="E145" s="148"/>
      <c r="F145" s="148"/>
      <c r="G145" s="148"/>
      <c r="H145" s="148"/>
      <c r="AF145" s="4"/>
      <c r="AG145" s="4"/>
    </row>
    <row r="146" spans="5:33" ht="12.75">
      <c r="E146" s="148"/>
      <c r="F146" s="148"/>
      <c r="G146" s="148"/>
      <c r="H146" s="148"/>
      <c r="AF146" s="4"/>
      <c r="AG146" s="4"/>
    </row>
    <row r="147" spans="5:33" ht="12.75">
      <c r="E147" s="148"/>
      <c r="F147" s="148"/>
      <c r="G147" s="148"/>
      <c r="H147" s="148"/>
      <c r="AF147" s="4"/>
      <c r="AG147" s="4"/>
    </row>
    <row r="148" spans="5:33" ht="12.75">
      <c r="E148" s="148"/>
      <c r="F148" s="148"/>
      <c r="G148" s="148"/>
      <c r="H148" s="148"/>
      <c r="AF148" s="4"/>
      <c r="AG148" s="4"/>
    </row>
    <row r="149" spans="5:33" ht="12.75">
      <c r="E149" s="148"/>
      <c r="F149" s="148"/>
      <c r="G149" s="148"/>
      <c r="H149" s="148"/>
      <c r="AF149" s="4"/>
      <c r="AG149" s="4"/>
    </row>
    <row r="150" spans="5:33" ht="12.75">
      <c r="E150" s="148"/>
      <c r="F150" s="148"/>
      <c r="G150" s="148"/>
      <c r="H150" s="148"/>
      <c r="AF150" s="4"/>
      <c r="AG150" s="4"/>
    </row>
    <row r="151" spans="5:33" ht="12.75">
      <c r="E151" s="148"/>
      <c r="F151" s="148"/>
      <c r="G151" s="148"/>
      <c r="H151" s="148"/>
      <c r="AF151" s="4"/>
      <c r="AG151" s="4"/>
    </row>
    <row r="152" spans="5:33" ht="12.75">
      <c r="E152" s="148"/>
      <c r="F152" s="148"/>
      <c r="G152" s="148"/>
      <c r="H152" s="148"/>
      <c r="AF152" s="4"/>
      <c r="AG152" s="4"/>
    </row>
    <row r="153" spans="5:33" ht="12.75">
      <c r="E153" s="148"/>
      <c r="F153" s="148"/>
      <c r="G153" s="148"/>
      <c r="H153" s="148"/>
      <c r="AF153" s="4"/>
      <c r="AG153" s="4"/>
    </row>
    <row r="154" spans="5:33" ht="12.75">
      <c r="E154" s="148"/>
      <c r="F154" s="148"/>
      <c r="G154" s="148"/>
      <c r="H154" s="148"/>
      <c r="AF154" s="4"/>
      <c r="AG154" s="4"/>
    </row>
    <row r="155" spans="5:33" ht="12.75">
      <c r="E155" s="148"/>
      <c r="F155" s="148"/>
      <c r="G155" s="148"/>
      <c r="H155" s="148"/>
      <c r="AF155" s="4"/>
      <c r="AG155" s="4"/>
    </row>
    <row r="156" spans="5:33" ht="12.75">
      <c r="E156" s="148"/>
      <c r="F156" s="148"/>
      <c r="G156" s="148"/>
      <c r="H156" s="148"/>
      <c r="AF156" s="4"/>
      <c r="AG156" s="4"/>
    </row>
    <row r="157" spans="5:33" ht="12.75">
      <c r="E157" s="148"/>
      <c r="F157" s="148"/>
      <c r="G157" s="148"/>
      <c r="H157" s="148"/>
      <c r="AF157" s="4"/>
      <c r="AG157" s="4"/>
    </row>
    <row r="158" spans="5:33" ht="12.75">
      <c r="E158" s="148"/>
      <c r="F158" s="148"/>
      <c r="G158" s="148"/>
      <c r="H158" s="148"/>
      <c r="AF158" s="4"/>
      <c r="AG158" s="4"/>
    </row>
    <row r="159" spans="5:33" ht="12.75">
      <c r="E159" s="148"/>
      <c r="F159" s="148"/>
      <c r="G159" s="148"/>
      <c r="H159" s="148"/>
      <c r="AF159" s="4"/>
      <c r="AG159" s="4"/>
    </row>
    <row r="160" spans="5:33" ht="12.75">
      <c r="E160" s="148"/>
      <c r="F160" s="148"/>
      <c r="G160" s="148"/>
      <c r="H160" s="148"/>
      <c r="AF160" s="4"/>
      <c r="AG160" s="4"/>
    </row>
    <row r="161" spans="5:33" ht="12.75">
      <c r="E161" s="148"/>
      <c r="F161" s="148"/>
      <c r="G161" s="148"/>
      <c r="H161" s="148"/>
      <c r="AF161" s="4"/>
      <c r="AG161" s="4"/>
    </row>
    <row r="162" spans="5:33" ht="12.75">
      <c r="E162" s="148"/>
      <c r="F162" s="148"/>
      <c r="G162" s="148"/>
      <c r="H162" s="148"/>
      <c r="AF162" s="4"/>
      <c r="AG162" s="4"/>
    </row>
    <row r="163" spans="5:33" ht="12.75">
      <c r="E163" s="148"/>
      <c r="F163" s="148"/>
      <c r="G163" s="148"/>
      <c r="H163" s="148"/>
      <c r="AF163" s="4"/>
      <c r="AG163" s="4"/>
    </row>
    <row r="164" spans="5:33" ht="12.75">
      <c r="E164" s="148"/>
      <c r="F164" s="148"/>
      <c r="G164" s="148"/>
      <c r="H164" s="148"/>
      <c r="AF164" s="4"/>
      <c r="AG164" s="4"/>
    </row>
    <row r="165" spans="5:33" ht="12.75">
      <c r="E165" s="148"/>
      <c r="F165" s="148"/>
      <c r="G165" s="148"/>
      <c r="H165" s="148"/>
      <c r="AF165" s="4"/>
      <c r="AG165" s="4"/>
    </row>
    <row r="166" spans="5:33" ht="12.75">
      <c r="E166" s="148"/>
      <c r="F166" s="148"/>
      <c r="G166" s="148"/>
      <c r="H166" s="148"/>
      <c r="AF166" s="4"/>
      <c r="AG166" s="4"/>
    </row>
    <row r="167" spans="5:33" ht="12.75">
      <c r="E167" s="148"/>
      <c r="F167" s="148"/>
      <c r="G167" s="148"/>
      <c r="H167" s="148"/>
      <c r="AF167" s="4"/>
      <c r="AG167" s="4"/>
    </row>
    <row r="168" spans="5:33" ht="12.75">
      <c r="E168" s="148"/>
      <c r="F168" s="148"/>
      <c r="G168" s="148"/>
      <c r="H168" s="148"/>
      <c r="AF168" s="4"/>
      <c r="AG168" s="4"/>
    </row>
    <row r="169" spans="5:33" ht="12.75">
      <c r="E169" s="148"/>
      <c r="F169" s="148"/>
      <c r="G169" s="148"/>
      <c r="H169" s="148"/>
      <c r="AF169" s="4"/>
      <c r="AG169" s="4"/>
    </row>
    <row r="170" spans="5:33" ht="12.75">
      <c r="E170" s="148"/>
      <c r="F170" s="148"/>
      <c r="G170" s="148"/>
      <c r="H170" s="148"/>
      <c r="AF170" s="4"/>
      <c r="AG170" s="4"/>
    </row>
    <row r="171" spans="5:33" ht="12.75">
      <c r="E171" s="148"/>
      <c r="F171" s="148"/>
      <c r="G171" s="148"/>
      <c r="H171" s="148"/>
      <c r="AF171" s="4"/>
      <c r="AG171" s="4"/>
    </row>
    <row r="172" spans="5:33" ht="12.75">
      <c r="E172" s="148"/>
      <c r="F172" s="148"/>
      <c r="G172" s="148"/>
      <c r="H172" s="148"/>
      <c r="AF172" s="4"/>
      <c r="AG172" s="4"/>
    </row>
    <row r="173" spans="5:33" ht="12.75">
      <c r="E173" s="148"/>
      <c r="F173" s="148"/>
      <c r="G173" s="148"/>
      <c r="H173" s="148"/>
      <c r="AF173" s="4"/>
      <c r="AG173" s="4"/>
    </row>
    <row r="174" spans="5:33" ht="12.75">
      <c r="E174" s="148"/>
      <c r="F174" s="148"/>
      <c r="G174" s="148"/>
      <c r="H174" s="148"/>
      <c r="AF174" s="4"/>
      <c r="AG174" s="4"/>
    </row>
    <row r="175" spans="5:33" ht="12.75">
      <c r="E175" s="148"/>
      <c r="F175" s="148"/>
      <c r="G175" s="148"/>
      <c r="H175" s="148"/>
      <c r="AF175" s="4"/>
      <c r="AG175" s="4"/>
    </row>
    <row r="176" spans="5:33" ht="12.75">
      <c r="E176" s="148"/>
      <c r="F176" s="148"/>
      <c r="G176" s="148"/>
      <c r="H176" s="148"/>
      <c r="AF176" s="4"/>
      <c r="AG176" s="4"/>
    </row>
    <row r="177" spans="5:33" ht="12.75">
      <c r="E177" s="148"/>
      <c r="F177" s="148"/>
      <c r="G177" s="148"/>
      <c r="H177" s="148"/>
      <c r="AF177" s="4"/>
      <c r="AG177" s="4"/>
    </row>
    <row r="178" spans="5:33" ht="12.75">
      <c r="E178" s="148"/>
      <c r="F178" s="148"/>
      <c r="G178" s="148"/>
      <c r="H178" s="148"/>
      <c r="AF178" s="4"/>
      <c r="AG178" s="4"/>
    </row>
    <row r="179" spans="5:33" ht="12.75">
      <c r="E179" s="148"/>
      <c r="F179" s="148"/>
      <c r="G179" s="148"/>
      <c r="H179" s="148"/>
      <c r="AF179" s="4"/>
      <c r="AG179" s="4"/>
    </row>
    <row r="180" spans="5:33" ht="12.75">
      <c r="E180" s="148"/>
      <c r="F180" s="148"/>
      <c r="G180" s="148"/>
      <c r="H180" s="148"/>
      <c r="AF180" s="4"/>
      <c r="AG180" s="4"/>
    </row>
    <row r="181" spans="5:33" ht="12.75">
      <c r="E181" s="148"/>
      <c r="F181" s="148"/>
      <c r="G181" s="148"/>
      <c r="H181" s="148"/>
      <c r="AF181" s="4"/>
      <c r="AG181" s="4"/>
    </row>
    <row r="182" spans="5:33" ht="12.75">
      <c r="E182" s="148"/>
      <c r="F182" s="148"/>
      <c r="G182" s="148"/>
      <c r="H182" s="148"/>
      <c r="AF182" s="4"/>
      <c r="AG182" s="4"/>
    </row>
    <row r="183" spans="5:33" ht="12.75">
      <c r="E183" s="148"/>
      <c r="F183" s="148"/>
      <c r="G183" s="148"/>
      <c r="H183" s="148"/>
      <c r="AF183" s="4"/>
      <c r="AG183" s="4"/>
    </row>
    <row r="184" spans="5:33" ht="12.75">
      <c r="E184" s="148"/>
      <c r="F184" s="148"/>
      <c r="G184" s="148"/>
      <c r="H184" s="148"/>
      <c r="AF184" s="4"/>
      <c r="AG184" s="4"/>
    </row>
    <row r="185" spans="5:33" ht="12.75">
      <c r="E185" s="148"/>
      <c r="F185" s="148"/>
      <c r="G185" s="148"/>
      <c r="H185" s="148"/>
      <c r="AF185" s="4"/>
      <c r="AG185" s="4"/>
    </row>
    <row r="186" spans="5:33" ht="12.75">
      <c r="E186" s="148"/>
      <c r="F186" s="148"/>
      <c r="G186" s="148"/>
      <c r="H186" s="148"/>
      <c r="AF186" s="4"/>
      <c r="AG186" s="4"/>
    </row>
    <row r="187" spans="5:33" ht="12.75">
      <c r="E187" s="148"/>
      <c r="F187" s="148"/>
      <c r="G187" s="148"/>
      <c r="H187" s="148"/>
      <c r="AF187" s="4"/>
      <c r="AG187" s="4"/>
    </row>
    <row r="188" spans="5:33" ht="12.75">
      <c r="E188" s="148"/>
      <c r="F188" s="148"/>
      <c r="G188" s="148"/>
      <c r="H188" s="148"/>
      <c r="AF188" s="4"/>
      <c r="AG188" s="4"/>
    </row>
    <row r="189" spans="5:33" ht="12.75">
      <c r="E189" s="148"/>
      <c r="F189" s="148"/>
      <c r="G189" s="148"/>
      <c r="H189" s="148"/>
      <c r="AF189" s="4"/>
      <c r="AG189" s="4"/>
    </row>
    <row r="190" spans="5:33" ht="12.75">
      <c r="E190" s="148"/>
      <c r="F190" s="148"/>
      <c r="G190" s="148"/>
      <c r="H190" s="148"/>
      <c r="AF190" s="4"/>
      <c r="AG190" s="4"/>
    </row>
    <row r="191" spans="5:33" ht="12.75">
      <c r="E191" s="148"/>
      <c r="F191" s="148"/>
      <c r="G191" s="148"/>
      <c r="H191" s="148"/>
      <c r="AF191" s="4"/>
      <c r="AG191" s="4"/>
    </row>
    <row r="192" spans="5:33" ht="12.75">
      <c r="E192" s="148"/>
      <c r="F192" s="148"/>
      <c r="G192" s="148"/>
      <c r="H192" s="148"/>
      <c r="AF192" s="4"/>
      <c r="AG192" s="4"/>
    </row>
    <row r="193" spans="5:33" ht="12.75">
      <c r="E193" s="148"/>
      <c r="F193" s="148"/>
      <c r="G193" s="148"/>
      <c r="H193" s="148"/>
      <c r="AF193" s="4"/>
      <c r="AG193" s="4"/>
    </row>
    <row r="194" spans="5:33" ht="12.75">
      <c r="E194" s="148"/>
      <c r="F194" s="148"/>
      <c r="G194" s="148"/>
      <c r="H194" s="148"/>
      <c r="AF194" s="4"/>
      <c r="AG194" s="4"/>
    </row>
    <row r="195" spans="5:33" ht="12.75">
      <c r="E195" s="148"/>
      <c r="F195" s="148"/>
      <c r="G195" s="148"/>
      <c r="H195" s="148"/>
      <c r="AF195" s="4"/>
      <c r="AG195" s="4"/>
    </row>
    <row r="196" spans="5:33" ht="12.75">
      <c r="E196" s="148"/>
      <c r="F196" s="148"/>
      <c r="G196" s="148"/>
      <c r="H196" s="148"/>
      <c r="AF196" s="4"/>
      <c r="AG196" s="4"/>
    </row>
    <row r="197" spans="5:33" ht="12.75">
      <c r="E197" s="148"/>
      <c r="F197" s="148"/>
      <c r="G197" s="148"/>
      <c r="H197" s="148"/>
      <c r="AF197" s="4"/>
      <c r="AG197" s="4"/>
    </row>
    <row r="198" spans="5:33" ht="12.75">
      <c r="E198" s="148"/>
      <c r="F198" s="148"/>
      <c r="G198" s="148"/>
      <c r="H198" s="148"/>
      <c r="AF198" s="4"/>
      <c r="AG198" s="4"/>
    </row>
    <row r="199" spans="5:33" ht="12.75">
      <c r="E199" s="148"/>
      <c r="F199" s="148"/>
      <c r="G199" s="148"/>
      <c r="H199" s="148"/>
      <c r="AF199" s="4"/>
      <c r="AG199" s="4"/>
    </row>
    <row r="200" spans="5:33" ht="12.75">
      <c r="E200" s="148"/>
      <c r="F200" s="148"/>
      <c r="G200" s="148"/>
      <c r="H200" s="148"/>
      <c r="AF200" s="4"/>
      <c r="AG200" s="4"/>
    </row>
    <row r="201" spans="5:33" ht="12.75">
      <c r="E201" s="148"/>
      <c r="F201" s="148"/>
      <c r="G201" s="148"/>
      <c r="H201" s="148"/>
      <c r="AF201" s="4"/>
      <c r="AG201" s="4"/>
    </row>
    <row r="202" spans="5:33" ht="12.75">
      <c r="E202" s="148"/>
      <c r="F202" s="148"/>
      <c r="G202" s="148"/>
      <c r="H202" s="148"/>
      <c r="AF202" s="4"/>
      <c r="AG202" s="4"/>
    </row>
    <row r="203" spans="5:33" ht="12.75">
      <c r="E203" s="148"/>
      <c r="F203" s="148"/>
      <c r="G203" s="148"/>
      <c r="H203" s="148"/>
      <c r="AF203" s="4"/>
      <c r="AG203" s="4"/>
    </row>
    <row r="204" spans="5:33" ht="12.75">
      <c r="E204" s="148"/>
      <c r="F204" s="148"/>
      <c r="G204" s="148"/>
      <c r="H204" s="148"/>
      <c r="AF204" s="4"/>
      <c r="AG204" s="4"/>
    </row>
    <row r="205" spans="5:33" ht="12.75">
      <c r="E205" s="148"/>
      <c r="F205" s="148"/>
      <c r="G205" s="148"/>
      <c r="H205" s="148"/>
      <c r="AF205" s="4"/>
      <c r="AG205" s="4"/>
    </row>
    <row r="206" spans="5:33" ht="12.75">
      <c r="E206" s="148"/>
      <c r="F206" s="148"/>
      <c r="G206" s="148"/>
      <c r="H206" s="148"/>
      <c r="AF206" s="4"/>
      <c r="AG206" s="4"/>
    </row>
    <row r="207" spans="5:33" ht="12.75">
      <c r="E207" s="148"/>
      <c r="F207" s="148"/>
      <c r="G207" s="148"/>
      <c r="H207" s="148"/>
      <c r="AF207" s="4"/>
      <c r="AG207" s="4"/>
    </row>
    <row r="208" spans="5:33" ht="12.75">
      <c r="E208" s="148"/>
      <c r="F208" s="148"/>
      <c r="G208" s="148"/>
      <c r="H208" s="148"/>
      <c r="AF208" s="4"/>
      <c r="AG208" s="4"/>
    </row>
    <row r="209" spans="5:33" ht="12.75">
      <c r="E209" s="148"/>
      <c r="F209" s="148"/>
      <c r="G209" s="148"/>
      <c r="H209" s="148"/>
      <c r="AF209" s="4"/>
      <c r="AG209" s="4"/>
    </row>
    <row r="210" spans="5:33" ht="12.75">
      <c r="E210" s="148"/>
      <c r="F210" s="148"/>
      <c r="G210" s="148"/>
      <c r="H210" s="148"/>
      <c r="AF210" s="4"/>
      <c r="AG210" s="4"/>
    </row>
    <row r="211" spans="5:33" ht="12.75">
      <c r="E211" s="148"/>
      <c r="F211" s="148"/>
      <c r="G211" s="148"/>
      <c r="H211" s="148"/>
      <c r="AF211" s="4"/>
      <c r="AG211" s="4"/>
    </row>
    <row r="212" spans="5:33" ht="12.75">
      <c r="E212" s="148"/>
      <c r="F212" s="148"/>
      <c r="G212" s="148"/>
      <c r="H212" s="148"/>
      <c r="AF212" s="4"/>
      <c r="AG212" s="4"/>
    </row>
    <row r="213" spans="5:33" ht="12.75">
      <c r="E213" s="148"/>
      <c r="F213" s="148"/>
      <c r="G213" s="148"/>
      <c r="H213" s="148"/>
      <c r="AF213" s="4"/>
      <c r="AG213" s="4"/>
    </row>
    <row r="214" spans="5:33" ht="12.75">
      <c r="E214" s="148"/>
      <c r="F214" s="148"/>
      <c r="G214" s="148"/>
      <c r="H214" s="148"/>
      <c r="AF214" s="4"/>
      <c r="AG214" s="4"/>
    </row>
    <row r="215" spans="5:33" ht="12.75">
      <c r="E215" s="148"/>
      <c r="F215" s="148"/>
      <c r="G215" s="148"/>
      <c r="H215" s="148"/>
      <c r="AF215" s="4"/>
      <c r="AG215" s="4"/>
    </row>
    <row r="216" spans="5:33" ht="12.75">
      <c r="E216" s="148"/>
      <c r="F216" s="148"/>
      <c r="G216" s="148"/>
      <c r="H216" s="148"/>
      <c r="AF216" s="4"/>
      <c r="AG216" s="4"/>
    </row>
    <row r="217" spans="5:33" ht="12.75">
      <c r="E217" s="148"/>
      <c r="F217" s="148"/>
      <c r="G217" s="148"/>
      <c r="H217" s="148"/>
      <c r="AF217" s="4"/>
      <c r="AG217" s="4"/>
    </row>
    <row r="218" spans="5:33" ht="12.75">
      <c r="E218" s="148"/>
      <c r="F218" s="148"/>
      <c r="G218" s="148"/>
      <c r="H218" s="148"/>
      <c r="AF218" s="4"/>
      <c r="AG218" s="4"/>
    </row>
    <row r="219" spans="5:33" ht="12.75">
      <c r="E219" s="148"/>
      <c r="F219" s="148"/>
      <c r="G219" s="148"/>
      <c r="H219" s="148"/>
      <c r="AF219" s="4"/>
      <c r="AG219" s="4"/>
    </row>
    <row r="220" spans="5:33" ht="12.75">
      <c r="E220" s="148"/>
      <c r="F220" s="148"/>
      <c r="G220" s="148"/>
      <c r="H220" s="148"/>
      <c r="AF220" s="4"/>
      <c r="AG220" s="4"/>
    </row>
    <row r="221" spans="5:33" ht="12.75">
      <c r="E221" s="148"/>
      <c r="F221" s="148"/>
      <c r="G221" s="148"/>
      <c r="H221" s="148"/>
      <c r="AF221" s="4"/>
      <c r="AG221" s="4"/>
    </row>
    <row r="222" spans="5:33" ht="12.75">
      <c r="E222" s="148"/>
      <c r="F222" s="148"/>
      <c r="G222" s="148"/>
      <c r="H222" s="148"/>
      <c r="AF222" s="4"/>
      <c r="AG222" s="4"/>
    </row>
    <row r="223" spans="5:33" ht="12.75">
      <c r="E223" s="148"/>
      <c r="F223" s="148"/>
      <c r="G223" s="148"/>
      <c r="H223" s="148"/>
      <c r="AF223" s="4"/>
      <c r="AG223" s="4"/>
    </row>
    <row r="224" spans="5:33" ht="12.75">
      <c r="E224" s="148"/>
      <c r="F224" s="148"/>
      <c r="G224" s="148"/>
      <c r="H224" s="148"/>
      <c r="AF224" s="4"/>
      <c r="AG224" s="4"/>
    </row>
    <row r="225" spans="5:33" ht="12.75">
      <c r="E225" s="148"/>
      <c r="F225" s="148"/>
      <c r="G225" s="148"/>
      <c r="H225" s="148"/>
      <c r="AF225" s="4"/>
      <c r="AG225" s="4"/>
    </row>
    <row r="226" spans="5:33" ht="12.75">
      <c r="E226" s="148"/>
      <c r="F226" s="148"/>
      <c r="G226" s="148"/>
      <c r="H226" s="148"/>
      <c r="AF226" s="4"/>
      <c r="AG226" s="4"/>
    </row>
    <row r="227" spans="5:33" ht="12.75">
      <c r="E227" s="148"/>
      <c r="F227" s="148"/>
      <c r="G227" s="148"/>
      <c r="H227" s="148"/>
      <c r="AF227" s="4"/>
      <c r="AG227" s="4"/>
    </row>
    <row r="228" spans="5:33" ht="12.75">
      <c r="E228" s="148"/>
      <c r="F228" s="148"/>
      <c r="G228" s="148"/>
      <c r="H228" s="148"/>
      <c r="AF228" s="4"/>
      <c r="AG228" s="4"/>
    </row>
    <row r="229" spans="5:33" ht="12.75">
      <c r="E229" s="148"/>
      <c r="F229" s="148"/>
      <c r="G229" s="148"/>
      <c r="H229" s="148"/>
      <c r="AF229" s="4"/>
      <c r="AG229" s="4"/>
    </row>
    <row r="230" spans="5:33" ht="12.75">
      <c r="E230" s="148"/>
      <c r="F230" s="148"/>
      <c r="G230" s="148"/>
      <c r="H230" s="148"/>
      <c r="AF230" s="4"/>
      <c r="AG230" s="4"/>
    </row>
    <row r="231" spans="5:33" ht="12.75">
      <c r="E231" s="148"/>
      <c r="F231" s="148"/>
      <c r="G231" s="148"/>
      <c r="H231" s="148"/>
      <c r="AF231" s="4"/>
      <c r="AG231" s="4"/>
    </row>
    <row r="232" spans="5:33" ht="12.75">
      <c r="E232" s="148"/>
      <c r="F232" s="148"/>
      <c r="G232" s="148"/>
      <c r="H232" s="148"/>
      <c r="AF232" s="4"/>
      <c r="AG232" s="4"/>
    </row>
    <row r="233" spans="5:33" ht="12.75">
      <c r="E233" s="148"/>
      <c r="F233" s="148"/>
      <c r="G233" s="148"/>
      <c r="H233" s="148"/>
      <c r="AF233" s="4"/>
      <c r="AG233" s="4"/>
    </row>
    <row r="234" spans="5:33" ht="12.75">
      <c r="E234" s="148"/>
      <c r="F234" s="148"/>
      <c r="G234" s="148"/>
      <c r="H234" s="148"/>
      <c r="AF234" s="4"/>
      <c r="AG234" s="4"/>
    </row>
    <row r="235" spans="5:33" ht="12.75">
      <c r="E235" s="148"/>
      <c r="F235" s="148"/>
      <c r="G235" s="148"/>
      <c r="H235" s="148"/>
      <c r="AF235" s="4"/>
      <c r="AG235" s="4"/>
    </row>
    <row r="236" spans="5:33" ht="12.75">
      <c r="E236" s="148"/>
      <c r="F236" s="148"/>
      <c r="G236" s="148"/>
      <c r="H236" s="148"/>
      <c r="AF236" s="4"/>
      <c r="AG236" s="4"/>
    </row>
    <row r="237" spans="5:33" ht="12.75">
      <c r="E237" s="148"/>
      <c r="F237" s="148"/>
      <c r="G237" s="148"/>
      <c r="H237" s="148"/>
      <c r="AF237" s="4"/>
      <c r="AG237" s="4"/>
    </row>
    <row r="238" spans="5:33" ht="12.75">
      <c r="E238" s="148"/>
      <c r="F238" s="148"/>
      <c r="G238" s="148"/>
      <c r="H238" s="148"/>
      <c r="AF238" s="4"/>
      <c r="AG238" s="4"/>
    </row>
    <row r="239" spans="5:33" ht="12.75">
      <c r="E239" s="148"/>
      <c r="F239" s="148"/>
      <c r="G239" s="148"/>
      <c r="H239" s="148"/>
      <c r="AF239" s="4"/>
      <c r="AG239" s="4"/>
    </row>
    <row r="240" spans="5:33" ht="12.75">
      <c r="E240" s="148"/>
      <c r="F240" s="148"/>
      <c r="G240" s="148"/>
      <c r="H240" s="148"/>
      <c r="AF240" s="4"/>
      <c r="AG240" s="4"/>
    </row>
    <row r="241" spans="5:33" ht="12.75">
      <c r="E241" s="148"/>
      <c r="F241" s="148"/>
      <c r="G241" s="148"/>
      <c r="H241" s="148"/>
      <c r="AF241" s="4"/>
      <c r="AG241" s="4"/>
    </row>
    <row r="242" spans="5:33" ht="12.75">
      <c r="E242" s="148"/>
      <c r="F242" s="148"/>
      <c r="G242" s="148"/>
      <c r="H242" s="148"/>
      <c r="AF242" s="4"/>
      <c r="AG242" s="4"/>
    </row>
    <row r="243" spans="5:33" ht="12.75">
      <c r="E243" s="148"/>
      <c r="F243" s="148"/>
      <c r="G243" s="148"/>
      <c r="H243" s="148"/>
      <c r="AF243" s="4"/>
      <c r="AG243" s="4"/>
    </row>
    <row r="244" spans="5:33" ht="12.75">
      <c r="E244" s="148"/>
      <c r="F244" s="148"/>
      <c r="G244" s="148"/>
      <c r="H244" s="148"/>
      <c r="AF244" s="4"/>
      <c r="AG244" s="4"/>
    </row>
    <row r="245" spans="5:33" ht="12.75">
      <c r="E245" s="148"/>
      <c r="F245" s="148"/>
      <c r="G245" s="148"/>
      <c r="H245" s="148"/>
      <c r="AF245" s="4"/>
      <c r="AG245" s="4"/>
    </row>
    <row r="246" spans="5:33" ht="12.75">
      <c r="E246" s="148"/>
      <c r="F246" s="148"/>
      <c r="G246" s="148"/>
      <c r="H246" s="148"/>
      <c r="AF246" s="4"/>
      <c r="AG246" s="4"/>
    </row>
    <row r="247" spans="5:33" ht="12.75">
      <c r="E247" s="148"/>
      <c r="F247" s="148"/>
      <c r="G247" s="148"/>
      <c r="H247" s="148"/>
      <c r="AF247" s="4"/>
      <c r="AG247" s="4"/>
    </row>
    <row r="248" spans="5:33" ht="12.75">
      <c r="E248" s="148"/>
      <c r="F248" s="148"/>
      <c r="G248" s="148"/>
      <c r="H248" s="148"/>
      <c r="AF248" s="4"/>
      <c r="AG248" s="4"/>
    </row>
    <row r="249" spans="5:33" ht="12.75">
      <c r="E249" s="148"/>
      <c r="F249" s="148"/>
      <c r="G249" s="148"/>
      <c r="H249" s="148"/>
      <c r="AF249" s="4"/>
      <c r="AG249" s="4"/>
    </row>
    <row r="250" spans="5:33" ht="12.75">
      <c r="E250" s="148"/>
      <c r="F250" s="148"/>
      <c r="G250" s="148"/>
      <c r="H250" s="148"/>
      <c r="AF250" s="4"/>
      <c r="AG250" s="4"/>
    </row>
    <row r="251" spans="5:33" ht="12.75">
      <c r="E251" s="148"/>
      <c r="F251" s="148"/>
      <c r="G251" s="148"/>
      <c r="H251" s="148"/>
      <c r="AF251" s="4"/>
      <c r="AG251" s="4"/>
    </row>
    <row r="252" spans="5:33" ht="12.75">
      <c r="E252" s="148"/>
      <c r="F252" s="148"/>
      <c r="G252" s="148"/>
      <c r="H252" s="148"/>
      <c r="AF252" s="4"/>
      <c r="AG252" s="4"/>
    </row>
    <row r="253" spans="5:33" ht="12.75">
      <c r="E253" s="148"/>
      <c r="F253" s="148"/>
      <c r="G253" s="148"/>
      <c r="H253" s="148"/>
      <c r="AF253" s="4"/>
      <c r="AG253" s="4"/>
    </row>
    <row r="254" spans="5:33" ht="12.75">
      <c r="E254" s="148"/>
      <c r="F254" s="148"/>
      <c r="G254" s="148"/>
      <c r="H254" s="148"/>
      <c r="AF254" s="4"/>
      <c r="AG254" s="4"/>
    </row>
    <row r="255" spans="5:33" ht="12.75">
      <c r="E255" s="148"/>
      <c r="F255" s="148"/>
      <c r="G255" s="148"/>
      <c r="H255" s="148"/>
      <c r="AF255" s="4"/>
      <c r="AG255" s="4"/>
    </row>
    <row r="256" spans="5:33" ht="12.75">
      <c r="E256" s="148"/>
      <c r="F256" s="148"/>
      <c r="G256" s="148"/>
      <c r="H256" s="148"/>
      <c r="AF256" s="4"/>
      <c r="AG256" s="4"/>
    </row>
    <row r="257" spans="5:33" ht="12.75">
      <c r="E257" s="148"/>
      <c r="F257" s="148"/>
      <c r="G257" s="148"/>
      <c r="H257" s="148"/>
      <c r="AF257" s="4"/>
      <c r="AG257" s="4"/>
    </row>
    <row r="258" spans="5:33" ht="12.75">
      <c r="E258" s="148"/>
      <c r="F258" s="148"/>
      <c r="G258" s="148"/>
      <c r="H258" s="148"/>
      <c r="AF258" s="4"/>
      <c r="AG258" s="4"/>
    </row>
    <row r="259" spans="5:33" ht="12.75">
      <c r="E259" s="148"/>
      <c r="F259" s="148"/>
      <c r="G259" s="148"/>
      <c r="H259" s="148"/>
      <c r="AF259" s="4"/>
      <c r="AG259" s="4"/>
    </row>
    <row r="260" spans="5:33" ht="12.75">
      <c r="E260" s="148"/>
      <c r="F260" s="148"/>
      <c r="G260" s="148"/>
      <c r="H260" s="148"/>
      <c r="AF260" s="4"/>
      <c r="AG260" s="4"/>
    </row>
    <row r="261" spans="5:33" ht="12.75">
      <c r="E261" s="148"/>
      <c r="F261" s="148"/>
      <c r="G261" s="148"/>
      <c r="H261" s="148"/>
      <c r="AF261" s="4"/>
      <c r="AG261" s="4"/>
    </row>
    <row r="262" spans="5:33" ht="12.75">
      <c r="E262" s="148"/>
      <c r="F262" s="148"/>
      <c r="G262" s="148"/>
      <c r="H262" s="148"/>
      <c r="AF262" s="4"/>
      <c r="AG262" s="4"/>
    </row>
    <row r="263" spans="5:33" ht="12.75">
      <c r="E263" s="148"/>
      <c r="F263" s="148"/>
      <c r="G263" s="148"/>
      <c r="H263" s="148"/>
      <c r="AF263" s="4"/>
      <c r="AG263" s="4"/>
    </row>
    <row r="264" spans="5:33" ht="12.75">
      <c r="E264" s="148"/>
      <c r="F264" s="148"/>
      <c r="G264" s="148"/>
      <c r="H264" s="148"/>
      <c r="AF264" s="4"/>
      <c r="AG264" s="4"/>
    </row>
    <row r="265" spans="5:33" ht="12.75">
      <c r="E265" s="148"/>
      <c r="F265" s="148"/>
      <c r="G265" s="148"/>
      <c r="H265" s="148"/>
      <c r="AF265" s="4"/>
      <c r="AG265" s="4"/>
    </row>
    <row r="266" spans="5:33" ht="12.75">
      <c r="E266" s="148"/>
      <c r="F266" s="148"/>
      <c r="G266" s="148"/>
      <c r="H266" s="148"/>
      <c r="AF266" s="4"/>
      <c r="AG266" s="4"/>
    </row>
    <row r="267" spans="5:33" ht="12.75">
      <c r="E267" s="148"/>
      <c r="F267" s="148"/>
      <c r="G267" s="148"/>
      <c r="H267" s="148"/>
      <c r="AF267" s="4"/>
      <c r="AG267" s="4"/>
    </row>
    <row r="268" spans="5:33" ht="12.75">
      <c r="E268" s="148"/>
      <c r="F268" s="148"/>
      <c r="G268" s="148"/>
      <c r="H268" s="148"/>
      <c r="AF268" s="4"/>
      <c r="AG268" s="4"/>
    </row>
    <row r="269" spans="5:33" ht="12.75">
      <c r="E269" s="148"/>
      <c r="F269" s="148"/>
      <c r="G269" s="148"/>
      <c r="H269" s="148"/>
      <c r="AF269" s="4"/>
      <c r="AG269" s="4"/>
    </row>
    <row r="270" spans="5:33" ht="12.75">
      <c r="E270" s="148"/>
      <c r="F270" s="148"/>
      <c r="G270" s="148"/>
      <c r="H270" s="148"/>
      <c r="AF270" s="4"/>
      <c r="AG270" s="4"/>
    </row>
    <row r="271" spans="5:33" ht="12.75">
      <c r="E271" s="148"/>
      <c r="F271" s="148"/>
      <c r="G271" s="148"/>
      <c r="H271" s="148"/>
      <c r="AF271" s="4"/>
      <c r="AG271" s="4"/>
    </row>
    <row r="272" spans="5:33" ht="12.75">
      <c r="E272" s="148"/>
      <c r="F272" s="148"/>
      <c r="G272" s="148"/>
      <c r="H272" s="148"/>
      <c r="AF272" s="4"/>
      <c r="AG272" s="4"/>
    </row>
    <row r="273" spans="5:33" ht="12.75">
      <c r="E273" s="148"/>
      <c r="F273" s="148"/>
      <c r="G273" s="148"/>
      <c r="H273" s="148"/>
      <c r="AF273" s="4"/>
      <c r="AG273" s="4"/>
    </row>
    <row r="274" spans="5:33" ht="12.75">
      <c r="E274" s="148"/>
      <c r="F274" s="148"/>
      <c r="G274" s="148"/>
      <c r="H274" s="148"/>
      <c r="AF274" s="4"/>
      <c r="AG274" s="4"/>
    </row>
    <row r="275" spans="5:33" ht="12.75">
      <c r="E275" s="148"/>
      <c r="F275" s="148"/>
      <c r="G275" s="148"/>
      <c r="H275" s="148"/>
      <c r="AF275" s="4"/>
      <c r="AG275" s="4"/>
    </row>
    <row r="276" spans="5:33" ht="12.75">
      <c r="E276" s="148"/>
      <c r="F276" s="148"/>
      <c r="G276" s="148"/>
      <c r="H276" s="148"/>
      <c r="AF276" s="4"/>
      <c r="AG276" s="4"/>
    </row>
    <row r="277" spans="5:33" ht="12.75">
      <c r="E277" s="148"/>
      <c r="F277" s="148"/>
      <c r="G277" s="148"/>
      <c r="H277" s="148"/>
      <c r="AF277" s="4"/>
      <c r="AG277" s="4"/>
    </row>
    <row r="278" spans="5:33" ht="12.75">
      <c r="E278" s="148"/>
      <c r="F278" s="148"/>
      <c r="G278" s="148"/>
      <c r="H278" s="148"/>
      <c r="AF278" s="4"/>
      <c r="AG278" s="4"/>
    </row>
    <row r="279" spans="5:33" ht="12.75">
      <c r="E279" s="148"/>
      <c r="F279" s="148"/>
      <c r="G279" s="148"/>
      <c r="H279" s="148"/>
      <c r="AF279" s="4"/>
      <c r="AG279" s="4"/>
    </row>
    <row r="280" spans="5:33" ht="12.75">
      <c r="E280" s="148"/>
      <c r="F280" s="148"/>
      <c r="G280" s="148"/>
      <c r="H280" s="148"/>
      <c r="AF280" s="4"/>
      <c r="AG280" s="4"/>
    </row>
    <row r="281" spans="5:33" ht="12.75">
      <c r="E281" s="148"/>
      <c r="F281" s="148"/>
      <c r="G281" s="148"/>
      <c r="H281" s="148"/>
      <c r="AF281" s="4"/>
      <c r="AG281" s="4"/>
    </row>
    <row r="282" spans="5:33" ht="12.75">
      <c r="E282" s="148"/>
      <c r="F282" s="148"/>
      <c r="G282" s="148"/>
      <c r="H282" s="148"/>
      <c r="AF282" s="4"/>
      <c r="AG282" s="4"/>
    </row>
    <row r="283" spans="5:33" ht="12.75">
      <c r="E283" s="148"/>
      <c r="F283" s="148"/>
      <c r="G283" s="148"/>
      <c r="H283" s="148"/>
      <c r="AF283" s="4"/>
      <c r="AG283" s="4"/>
    </row>
    <row r="284" spans="5:33" ht="12.75">
      <c r="E284" s="148"/>
      <c r="F284" s="148"/>
      <c r="G284" s="148"/>
      <c r="H284" s="148"/>
      <c r="AF284" s="4"/>
      <c r="AG284" s="4"/>
    </row>
    <row r="285" spans="5:33" ht="12.75">
      <c r="E285" s="148"/>
      <c r="F285" s="148"/>
      <c r="G285" s="148"/>
      <c r="H285" s="148"/>
      <c r="AF285" s="4"/>
      <c r="AG285" s="4"/>
    </row>
    <row r="286" spans="5:33" ht="12.75">
      <c r="E286" s="148"/>
      <c r="F286" s="148"/>
      <c r="G286" s="148"/>
      <c r="H286" s="148"/>
      <c r="AF286" s="4"/>
      <c r="AG286" s="4"/>
    </row>
    <row r="287" spans="5:33" ht="12.75">
      <c r="E287" s="148"/>
      <c r="F287" s="148"/>
      <c r="G287" s="148"/>
      <c r="H287" s="148"/>
      <c r="AF287" s="4"/>
      <c r="AG287" s="4"/>
    </row>
    <row r="288" spans="5:33" ht="12.75">
      <c r="E288" s="148"/>
      <c r="F288" s="148"/>
      <c r="G288" s="148"/>
      <c r="H288" s="148"/>
      <c r="AF288" s="4"/>
      <c r="AG288" s="4"/>
    </row>
    <row r="289" spans="5:33" ht="12.75">
      <c r="E289" s="148"/>
      <c r="F289" s="148"/>
      <c r="G289" s="148"/>
      <c r="H289" s="148"/>
      <c r="AF289" s="4"/>
      <c r="AG289" s="4"/>
    </row>
    <row r="290" spans="5:33" ht="12.75">
      <c r="E290" s="148"/>
      <c r="F290" s="148"/>
      <c r="G290" s="148"/>
      <c r="H290" s="148"/>
      <c r="AF290" s="4"/>
      <c r="AG290" s="4"/>
    </row>
    <row r="291" spans="5:33" ht="12.75">
      <c r="E291" s="148"/>
      <c r="F291" s="148"/>
      <c r="G291" s="148"/>
      <c r="H291" s="148"/>
      <c r="AF291" s="4"/>
      <c r="AG291" s="4"/>
    </row>
    <row r="292" spans="5:33" ht="12.75">
      <c r="E292" s="148"/>
      <c r="F292" s="148"/>
      <c r="G292" s="148"/>
      <c r="H292" s="148"/>
      <c r="AF292" s="4"/>
      <c r="AG292" s="4"/>
    </row>
    <row r="293" spans="5:33" ht="12.75">
      <c r="E293" s="148"/>
      <c r="F293" s="148"/>
      <c r="G293" s="148"/>
      <c r="H293" s="148"/>
      <c r="AF293" s="4"/>
      <c r="AG293" s="4"/>
    </row>
    <row r="294" spans="5:33" ht="12.75">
      <c r="E294" s="148"/>
      <c r="F294" s="148"/>
      <c r="G294" s="148"/>
      <c r="H294" s="148"/>
      <c r="AF294" s="4"/>
      <c r="AG294" s="4"/>
    </row>
    <row r="295" spans="5:33" ht="12.75">
      <c r="E295" s="148"/>
      <c r="F295" s="148"/>
      <c r="G295" s="148"/>
      <c r="H295" s="148"/>
      <c r="AF295" s="4"/>
      <c r="AG295" s="4"/>
    </row>
    <row r="296" spans="5:33" ht="12.75">
      <c r="E296" s="148"/>
      <c r="F296" s="148"/>
      <c r="G296" s="148"/>
      <c r="H296" s="148"/>
      <c r="AF296" s="4"/>
      <c r="AG296" s="4"/>
    </row>
    <row r="297" spans="5:33" ht="12.75">
      <c r="E297" s="148"/>
      <c r="F297" s="148"/>
      <c r="G297" s="148"/>
      <c r="H297" s="148"/>
      <c r="AF297" s="4"/>
      <c r="AG297" s="4"/>
    </row>
    <row r="298" spans="5:33" ht="12.75">
      <c r="E298" s="148"/>
      <c r="F298" s="148"/>
      <c r="G298" s="148"/>
      <c r="H298" s="148"/>
      <c r="AF298" s="4"/>
      <c r="AG298" s="4"/>
    </row>
    <row r="299" spans="5:33" ht="12.75">
      <c r="E299" s="148"/>
      <c r="F299" s="148"/>
      <c r="G299" s="148"/>
      <c r="H299" s="148"/>
      <c r="AF299" s="4"/>
      <c r="AG299" s="4"/>
    </row>
    <row r="300" spans="5:33" ht="12.75">
      <c r="E300" s="148"/>
      <c r="F300" s="148"/>
      <c r="G300" s="148"/>
      <c r="H300" s="148"/>
      <c r="AF300" s="4"/>
      <c r="AG300" s="4"/>
    </row>
    <row r="301" spans="5:33" ht="12.75">
      <c r="E301" s="148"/>
      <c r="F301" s="148"/>
      <c r="G301" s="148"/>
      <c r="H301" s="148"/>
      <c r="AF301" s="4"/>
      <c r="AG301" s="4"/>
    </row>
    <row r="302" spans="5:33" ht="12.75">
      <c r="E302" s="148"/>
      <c r="F302" s="148"/>
      <c r="G302" s="148"/>
      <c r="H302" s="148"/>
      <c r="AF302" s="4"/>
      <c r="AG302" s="4"/>
    </row>
    <row r="303" spans="5:33" ht="12.75">
      <c r="E303" s="148"/>
      <c r="F303" s="148"/>
      <c r="G303" s="148"/>
      <c r="H303" s="148"/>
      <c r="AF303" s="4"/>
      <c r="AG303" s="4"/>
    </row>
    <row r="304" spans="5:33" ht="12.75">
      <c r="E304" s="148"/>
      <c r="F304" s="148"/>
      <c r="G304" s="148"/>
      <c r="H304" s="148"/>
      <c r="AF304" s="4"/>
      <c r="AG304" s="4"/>
    </row>
    <row r="305" spans="5:33" ht="12.75">
      <c r="E305" s="148"/>
      <c r="F305" s="148"/>
      <c r="G305" s="148"/>
      <c r="H305" s="148"/>
      <c r="AF305" s="4"/>
      <c r="AG305" s="4"/>
    </row>
    <row r="306" spans="5:33" ht="12.75">
      <c r="E306" s="148"/>
      <c r="F306" s="148"/>
      <c r="G306" s="148"/>
      <c r="H306" s="148"/>
      <c r="AF306" s="4"/>
      <c r="AG306" s="4"/>
    </row>
    <row r="307" spans="5:33" ht="12.75">
      <c r="E307" s="148"/>
      <c r="F307" s="148"/>
      <c r="G307" s="148"/>
      <c r="H307" s="148"/>
      <c r="AF307" s="4"/>
      <c r="AG307" s="4"/>
    </row>
    <row r="308" spans="5:33" ht="12.75">
      <c r="E308" s="148"/>
      <c r="F308" s="148"/>
      <c r="G308" s="148"/>
      <c r="H308" s="148"/>
      <c r="AF308" s="4"/>
      <c r="AG308" s="4"/>
    </row>
    <row r="309" spans="5:33" ht="12.75">
      <c r="E309" s="148"/>
      <c r="F309" s="148"/>
      <c r="G309" s="148"/>
      <c r="H309" s="148"/>
      <c r="AF309" s="4"/>
      <c r="AG309" s="4"/>
    </row>
    <row r="310" spans="5:33" ht="12.75">
      <c r="E310" s="148"/>
      <c r="F310" s="148"/>
      <c r="G310" s="148"/>
      <c r="H310" s="148"/>
      <c r="AF310" s="4"/>
      <c r="AG310" s="4"/>
    </row>
    <row r="311" spans="5:33" ht="12.75">
      <c r="E311" s="148"/>
      <c r="F311" s="148"/>
      <c r="G311" s="148"/>
      <c r="H311" s="148"/>
      <c r="AF311" s="4"/>
      <c r="AG311" s="4"/>
    </row>
    <row r="312" spans="5:33" ht="12.75">
      <c r="E312" s="148"/>
      <c r="F312" s="148"/>
      <c r="G312" s="148"/>
      <c r="H312" s="148"/>
      <c r="AF312" s="4"/>
      <c r="AG312" s="4"/>
    </row>
    <row r="313" spans="5:33" ht="12.75">
      <c r="E313" s="148"/>
      <c r="F313" s="148"/>
      <c r="G313" s="148"/>
      <c r="H313" s="148"/>
      <c r="AF313" s="4"/>
      <c r="AG313" s="4"/>
    </row>
    <row r="314" spans="5:33" ht="12.75">
      <c r="E314" s="148"/>
      <c r="F314" s="148"/>
      <c r="G314" s="148"/>
      <c r="H314" s="148"/>
      <c r="AF314" s="4"/>
      <c r="AG314" s="4"/>
    </row>
    <row r="315" spans="5:33" ht="12.75">
      <c r="E315" s="148"/>
      <c r="F315" s="148"/>
      <c r="G315" s="148"/>
      <c r="H315" s="148"/>
      <c r="AF315" s="4"/>
      <c r="AG315" s="4"/>
    </row>
    <row r="316" spans="5:33" ht="12.75">
      <c r="E316" s="148"/>
      <c r="F316" s="148"/>
      <c r="G316" s="148"/>
      <c r="H316" s="148"/>
      <c r="AF316" s="4"/>
      <c r="AG316" s="4"/>
    </row>
    <row r="317" spans="5:33" ht="12.75">
      <c r="E317" s="148"/>
      <c r="F317" s="148"/>
      <c r="G317" s="148"/>
      <c r="H317" s="148"/>
      <c r="AF317" s="4"/>
      <c r="AG317" s="4"/>
    </row>
    <row r="318" spans="5:33" ht="12.75">
      <c r="E318" s="148"/>
      <c r="F318" s="148"/>
      <c r="G318" s="148"/>
      <c r="H318" s="148"/>
      <c r="AF318" s="4"/>
      <c r="AG318" s="4"/>
    </row>
    <row r="319" spans="5:33" ht="12.75">
      <c r="E319" s="148"/>
      <c r="F319" s="148"/>
      <c r="G319" s="148"/>
      <c r="H319" s="148"/>
      <c r="AF319" s="4"/>
      <c r="AG319" s="4"/>
    </row>
    <row r="320" spans="5:33" ht="12.75">
      <c r="E320" s="148"/>
      <c r="F320" s="148"/>
      <c r="G320" s="148"/>
      <c r="H320" s="148"/>
      <c r="AF320" s="4"/>
      <c r="AG320" s="4"/>
    </row>
    <row r="321" spans="5:33" ht="12.75">
      <c r="E321" s="148"/>
      <c r="F321" s="148"/>
      <c r="G321" s="148"/>
      <c r="H321" s="148"/>
      <c r="AF321" s="4"/>
      <c r="AG321" s="4"/>
    </row>
    <row r="322" spans="5:33" ht="12.75">
      <c r="E322" s="148"/>
      <c r="F322" s="148"/>
      <c r="G322" s="148"/>
      <c r="H322" s="148"/>
      <c r="AF322" s="4"/>
      <c r="AG322" s="4"/>
    </row>
    <row r="323" spans="5:33" ht="12.75">
      <c r="E323" s="148"/>
      <c r="F323" s="148"/>
      <c r="G323" s="148"/>
      <c r="H323" s="148"/>
      <c r="AF323" s="4"/>
      <c r="AG323" s="4"/>
    </row>
    <row r="324" spans="5:33" ht="12.75">
      <c r="E324" s="148"/>
      <c r="F324" s="148"/>
      <c r="G324" s="148"/>
      <c r="H324" s="148"/>
      <c r="AF324" s="4"/>
      <c r="AG324" s="4"/>
    </row>
    <row r="325" spans="5:33" ht="12.75">
      <c r="E325" s="148"/>
      <c r="F325" s="148"/>
      <c r="G325" s="148"/>
      <c r="H325" s="148"/>
      <c r="AF325" s="4"/>
      <c r="AG325" s="4"/>
    </row>
    <row r="326" spans="5:33" ht="12.75">
      <c r="E326" s="148"/>
      <c r="F326" s="148"/>
      <c r="G326" s="148"/>
      <c r="H326" s="148"/>
      <c r="AF326" s="4"/>
      <c r="AG326" s="4"/>
    </row>
    <row r="327" spans="5:33" ht="12.75">
      <c r="E327" s="148"/>
      <c r="F327" s="148"/>
      <c r="G327" s="148"/>
      <c r="H327" s="148"/>
      <c r="AF327" s="4"/>
      <c r="AG327" s="4"/>
    </row>
    <row r="328" spans="5:33" ht="12.75">
      <c r="E328" s="148"/>
      <c r="F328" s="148"/>
      <c r="G328" s="148"/>
      <c r="H328" s="148"/>
      <c r="AF328" s="4"/>
      <c r="AG328" s="4"/>
    </row>
    <row r="329" spans="5:33" ht="12.75">
      <c r="E329" s="148"/>
      <c r="F329" s="148"/>
      <c r="G329" s="148"/>
      <c r="H329" s="148"/>
      <c r="AF329" s="4"/>
      <c r="AG329" s="4"/>
    </row>
    <row r="330" spans="5:33" ht="12.75">
      <c r="E330" s="148"/>
      <c r="F330" s="148"/>
      <c r="G330" s="148"/>
      <c r="H330" s="148"/>
      <c r="AF330" s="4"/>
      <c r="AG330" s="4"/>
    </row>
    <row r="331" spans="5:33" ht="12.75">
      <c r="E331" s="148"/>
      <c r="F331" s="148"/>
      <c r="G331" s="148"/>
      <c r="H331" s="148"/>
      <c r="AF331" s="4"/>
      <c r="AG331" s="4"/>
    </row>
    <row r="332" spans="5:33" ht="12.75">
      <c r="E332" s="148"/>
      <c r="F332" s="148"/>
      <c r="G332" s="148"/>
      <c r="H332" s="148"/>
      <c r="AF332" s="4"/>
      <c r="AG332" s="4"/>
    </row>
    <row r="333" spans="5:33" ht="12.75">
      <c r="E333" s="148"/>
      <c r="F333" s="148"/>
      <c r="G333" s="148"/>
      <c r="H333" s="148"/>
      <c r="AF333" s="4"/>
      <c r="AG333" s="4"/>
    </row>
    <row r="334" spans="5:33" ht="12.75">
      <c r="E334" s="148"/>
      <c r="F334" s="148"/>
      <c r="G334" s="148"/>
      <c r="H334" s="148"/>
      <c r="AF334" s="4"/>
      <c r="AG334" s="4"/>
    </row>
    <row r="335" spans="5:33" ht="12.75">
      <c r="E335" s="148"/>
      <c r="F335" s="148"/>
      <c r="G335" s="148"/>
      <c r="H335" s="148"/>
      <c r="AF335" s="4"/>
      <c r="AG335" s="4"/>
    </row>
    <row r="336" spans="5:33" ht="12.75">
      <c r="E336" s="148"/>
      <c r="F336" s="148"/>
      <c r="G336" s="148"/>
      <c r="H336" s="148"/>
      <c r="AF336" s="4"/>
      <c r="AG336" s="4"/>
    </row>
    <row r="337" spans="5:33" ht="12.75">
      <c r="E337" s="148"/>
      <c r="F337" s="148"/>
      <c r="G337" s="148"/>
      <c r="H337" s="148"/>
      <c r="AF337" s="4"/>
      <c r="AG337" s="4"/>
    </row>
    <row r="338" spans="5:33" ht="12.75">
      <c r="E338" s="148"/>
      <c r="F338" s="148"/>
      <c r="G338" s="148"/>
      <c r="H338" s="148"/>
      <c r="AF338" s="4"/>
      <c r="AG338" s="4"/>
    </row>
    <row r="339" spans="5:33" ht="12.75">
      <c r="E339" s="148"/>
      <c r="F339" s="148"/>
      <c r="G339" s="148"/>
      <c r="H339" s="148"/>
      <c r="AF339" s="4"/>
      <c r="AG339" s="4"/>
    </row>
    <row r="340" spans="5:33" ht="12.75">
      <c r="E340" s="148"/>
      <c r="F340" s="148"/>
      <c r="G340" s="148"/>
      <c r="H340" s="148"/>
      <c r="AF340" s="4"/>
      <c r="AG340" s="4"/>
    </row>
    <row r="341" spans="5:33" ht="12.75">
      <c r="E341" s="148"/>
      <c r="F341" s="148"/>
      <c r="G341" s="148"/>
      <c r="H341" s="148"/>
      <c r="AF341" s="4"/>
      <c r="AG341" s="4"/>
    </row>
    <row r="342" spans="5:33" ht="12.75">
      <c r="E342" s="148"/>
      <c r="F342" s="148"/>
      <c r="G342" s="148"/>
      <c r="H342" s="148"/>
      <c r="AF342" s="4"/>
      <c r="AG342" s="4"/>
    </row>
    <row r="343" spans="5:33" ht="12.75">
      <c r="E343" s="148"/>
      <c r="F343" s="148"/>
      <c r="G343" s="148"/>
      <c r="H343" s="148"/>
      <c r="AF343" s="4"/>
      <c r="AG343" s="4"/>
    </row>
    <row r="344" spans="5:33" ht="12.75">
      <c r="E344" s="148"/>
      <c r="F344" s="148"/>
      <c r="G344" s="148"/>
      <c r="H344" s="148"/>
      <c r="AF344" s="4"/>
      <c r="AG344" s="4"/>
    </row>
    <row r="345" spans="5:33" ht="12.75">
      <c r="E345" s="148"/>
      <c r="F345" s="148"/>
      <c r="G345" s="148"/>
      <c r="H345" s="148"/>
      <c r="AF345" s="4"/>
      <c r="AG345" s="4"/>
    </row>
    <row r="346" spans="5:33" ht="12.75">
      <c r="E346" s="148"/>
      <c r="F346" s="148"/>
      <c r="G346" s="148"/>
      <c r="H346" s="148"/>
      <c r="AF346" s="4"/>
      <c r="AG346" s="4"/>
    </row>
    <row r="347" spans="5:33" ht="12.75">
      <c r="E347" s="148"/>
      <c r="F347" s="148"/>
      <c r="G347" s="148"/>
      <c r="H347" s="148"/>
      <c r="AF347" s="4"/>
      <c r="AG347" s="4"/>
    </row>
    <row r="348" spans="5:33" ht="12.75">
      <c r="E348" s="148"/>
      <c r="F348" s="148"/>
      <c r="G348" s="148"/>
      <c r="H348" s="148"/>
      <c r="AF348" s="4"/>
      <c r="AG348" s="4"/>
    </row>
    <row r="349" spans="5:33" ht="12.75">
      <c r="E349" s="148"/>
      <c r="F349" s="148"/>
      <c r="G349" s="148"/>
      <c r="H349" s="148"/>
      <c r="AF349" s="4"/>
      <c r="AG349" s="4"/>
    </row>
    <row r="350" spans="5:33" ht="12.75">
      <c r="E350" s="148"/>
      <c r="F350" s="148"/>
      <c r="G350" s="148"/>
      <c r="H350" s="148"/>
      <c r="AF350" s="4"/>
      <c r="AG350" s="4"/>
    </row>
    <row r="351" spans="5:33" ht="12.75">
      <c r="E351" s="148"/>
      <c r="F351" s="148"/>
      <c r="G351" s="148"/>
      <c r="H351" s="148"/>
      <c r="AF351" s="4"/>
      <c r="AG351" s="4"/>
    </row>
    <row r="352" spans="5:33" ht="12.75">
      <c r="E352" s="148"/>
      <c r="F352" s="148"/>
      <c r="G352" s="148"/>
      <c r="H352" s="148"/>
      <c r="AF352" s="4"/>
      <c r="AG352" s="4"/>
    </row>
    <row r="353" spans="5:33" ht="12.75">
      <c r="E353" s="148"/>
      <c r="F353" s="148"/>
      <c r="G353" s="148"/>
      <c r="H353" s="148"/>
      <c r="AF353" s="4"/>
      <c r="AG353" s="4"/>
    </row>
    <row r="354" spans="5:33" ht="12.75">
      <c r="E354" s="148"/>
      <c r="F354" s="148"/>
      <c r="G354" s="148"/>
      <c r="H354" s="148"/>
      <c r="AF354" s="4"/>
      <c r="AG354" s="4"/>
    </row>
    <row r="355" spans="5:33" ht="12.75">
      <c r="E355" s="148"/>
      <c r="F355" s="148"/>
      <c r="G355" s="148"/>
      <c r="H355" s="148"/>
      <c r="AF355" s="4"/>
      <c r="AG355" s="4"/>
    </row>
    <row r="356" spans="5:33" ht="12.75">
      <c r="E356" s="148"/>
      <c r="F356" s="148"/>
      <c r="G356" s="148"/>
      <c r="H356" s="148"/>
      <c r="AF356" s="4"/>
      <c r="AG356" s="4"/>
    </row>
    <row r="357" spans="5:33" ht="12.75">
      <c r="E357" s="148"/>
      <c r="F357" s="148"/>
      <c r="G357" s="148"/>
      <c r="H357" s="148"/>
      <c r="AF357" s="4"/>
      <c r="AG357" s="4"/>
    </row>
    <row r="358" spans="5:33" ht="12.75">
      <c r="E358" s="148"/>
      <c r="F358" s="148"/>
      <c r="G358" s="148"/>
      <c r="H358" s="148"/>
      <c r="AF358" s="4"/>
      <c r="AG358" s="4"/>
    </row>
    <row r="359" spans="5:33" ht="12.75">
      <c r="E359" s="148"/>
      <c r="F359" s="148"/>
      <c r="G359" s="148"/>
      <c r="H359" s="148"/>
      <c r="AF359" s="4"/>
      <c r="AG359" s="4"/>
    </row>
    <row r="360" spans="5:33" ht="12.75">
      <c r="E360" s="148"/>
      <c r="F360" s="148"/>
      <c r="G360" s="148"/>
      <c r="H360" s="148"/>
      <c r="AF360" s="4"/>
      <c r="AG360" s="4"/>
    </row>
    <row r="361" spans="5:33" ht="12.75">
      <c r="E361" s="148"/>
      <c r="F361" s="148"/>
      <c r="G361" s="148"/>
      <c r="H361" s="148"/>
      <c r="AF361" s="4"/>
      <c r="AG361" s="4"/>
    </row>
    <row r="362" spans="5:33" ht="12.75">
      <c r="E362" s="148"/>
      <c r="F362" s="148"/>
      <c r="G362" s="148"/>
      <c r="H362" s="148"/>
      <c r="AF362" s="4"/>
      <c r="AG362" s="4"/>
    </row>
    <row r="363" spans="5:33" ht="12.75">
      <c r="E363" s="148"/>
      <c r="F363" s="148"/>
      <c r="G363" s="148"/>
      <c r="H363" s="148"/>
      <c r="AF363" s="4"/>
      <c r="AG363" s="4"/>
    </row>
    <row r="364" spans="5:33" ht="12.75">
      <c r="E364" s="148"/>
      <c r="F364" s="148"/>
      <c r="G364" s="148"/>
      <c r="H364" s="148"/>
      <c r="AF364" s="4"/>
      <c r="AG364" s="4"/>
    </row>
    <row r="365" spans="5:33" ht="12.75">
      <c r="E365" s="148"/>
      <c r="F365" s="148"/>
      <c r="G365" s="148"/>
      <c r="H365" s="148"/>
      <c r="AF365" s="4"/>
      <c r="AG365" s="4"/>
    </row>
    <row r="366" spans="5:33" ht="12.75">
      <c r="E366" s="148"/>
      <c r="F366" s="148"/>
      <c r="G366" s="148"/>
      <c r="H366" s="148"/>
      <c r="AF366" s="4"/>
      <c r="AG366" s="4"/>
    </row>
    <row r="367" spans="5:33" ht="12.75">
      <c r="E367" s="148"/>
      <c r="F367" s="148"/>
      <c r="G367" s="148"/>
      <c r="H367" s="148"/>
      <c r="AF367" s="4"/>
      <c r="AG367" s="4"/>
    </row>
    <row r="368" spans="5:33" ht="12.75">
      <c r="E368" s="148"/>
      <c r="F368" s="148"/>
      <c r="G368" s="148"/>
      <c r="H368" s="148"/>
      <c r="AF368" s="4"/>
      <c r="AG368" s="4"/>
    </row>
    <row r="369" spans="5:33" ht="12.75">
      <c r="E369" s="148"/>
      <c r="F369" s="148"/>
      <c r="G369" s="148"/>
      <c r="H369" s="148"/>
      <c r="AF369" s="4"/>
      <c r="AG369" s="4"/>
    </row>
    <row r="370" spans="5:33" ht="12.75">
      <c r="E370" s="148"/>
      <c r="F370" s="148"/>
      <c r="G370" s="148"/>
      <c r="H370" s="148"/>
      <c r="AF370" s="4"/>
      <c r="AG370" s="4"/>
    </row>
    <row r="371" spans="5:33" ht="12.75">
      <c r="E371" s="148"/>
      <c r="F371" s="148"/>
      <c r="G371" s="148"/>
      <c r="H371" s="148"/>
      <c r="AF371" s="4"/>
      <c r="AG371" s="4"/>
    </row>
    <row r="372" spans="5:33" ht="12.75">
      <c r="E372" s="148"/>
      <c r="F372" s="148"/>
      <c r="G372" s="148"/>
      <c r="H372" s="148"/>
      <c r="AF372" s="4"/>
      <c r="AG372" s="4"/>
    </row>
    <row r="373" spans="5:33" ht="12.75">
      <c r="E373" s="148"/>
      <c r="F373" s="148"/>
      <c r="G373" s="148"/>
      <c r="H373" s="148"/>
      <c r="AF373" s="4"/>
      <c r="AG373" s="4"/>
    </row>
    <row r="374" spans="5:33" ht="12.75">
      <c r="E374" s="148"/>
      <c r="F374" s="148"/>
      <c r="G374" s="148"/>
      <c r="H374" s="148"/>
      <c r="AF374" s="4"/>
      <c r="AG374" s="4"/>
    </row>
    <row r="375" spans="5:33" ht="12.75">
      <c r="E375" s="148"/>
      <c r="F375" s="148"/>
      <c r="G375" s="148"/>
      <c r="H375" s="148"/>
      <c r="AF375" s="4"/>
      <c r="AG375" s="4"/>
    </row>
    <row r="376" spans="5:33" ht="12.75">
      <c r="E376" s="148"/>
      <c r="F376" s="148"/>
      <c r="G376" s="148"/>
      <c r="H376" s="148"/>
      <c r="AF376" s="4"/>
      <c r="AG376" s="4"/>
    </row>
    <row r="377" spans="5:33" ht="12.75">
      <c r="E377" s="148"/>
      <c r="F377" s="148"/>
      <c r="G377" s="148"/>
      <c r="H377" s="148"/>
      <c r="AF377" s="4"/>
      <c r="AG377" s="4"/>
    </row>
    <row r="378" spans="5:33" ht="12.75">
      <c r="E378" s="148"/>
      <c r="F378" s="148"/>
      <c r="G378" s="148"/>
      <c r="H378" s="148"/>
      <c r="AF378" s="4"/>
      <c r="AG378" s="4"/>
    </row>
    <row r="379" spans="5:33" ht="12.75">
      <c r="E379" s="148"/>
      <c r="F379" s="148"/>
      <c r="G379" s="148"/>
      <c r="H379" s="148"/>
      <c r="AF379" s="4"/>
      <c r="AG379" s="4"/>
    </row>
    <row r="380" spans="5:33" ht="12.75">
      <c r="E380" s="148"/>
      <c r="F380" s="148"/>
      <c r="G380" s="148"/>
      <c r="H380" s="148"/>
      <c r="AF380" s="4"/>
      <c r="AG380" s="4"/>
    </row>
    <row r="381" spans="5:33" ht="12.75">
      <c r="E381" s="148"/>
      <c r="F381" s="148"/>
      <c r="G381" s="148"/>
      <c r="H381" s="148"/>
      <c r="AF381" s="4"/>
      <c r="AG381" s="4"/>
    </row>
    <row r="382" spans="5:33" ht="12.75">
      <c r="E382" s="148"/>
      <c r="F382" s="148"/>
      <c r="G382" s="148"/>
      <c r="H382" s="148"/>
      <c r="AF382" s="4"/>
      <c r="AG382" s="4"/>
    </row>
    <row r="383" spans="5:33" ht="12.75">
      <c r="E383" s="148"/>
      <c r="F383" s="148"/>
      <c r="G383" s="148"/>
      <c r="H383" s="148"/>
      <c r="AF383" s="4"/>
      <c r="AG383" s="4"/>
    </row>
    <row r="384" spans="5:33" ht="12.75">
      <c r="E384" s="148"/>
      <c r="F384" s="148"/>
      <c r="G384" s="148"/>
      <c r="H384" s="148"/>
      <c r="AF384" s="4"/>
      <c r="AG384" s="4"/>
    </row>
    <row r="385" spans="5:33" ht="12.75">
      <c r="E385" s="148"/>
      <c r="F385" s="148"/>
      <c r="G385" s="148"/>
      <c r="H385" s="148"/>
      <c r="AF385" s="4"/>
      <c r="AG385" s="4"/>
    </row>
    <row r="386" spans="5:33" ht="12.75">
      <c r="E386" s="148"/>
      <c r="F386" s="148"/>
      <c r="G386" s="148"/>
      <c r="H386" s="148"/>
      <c r="AF386" s="4"/>
      <c r="AG386" s="4"/>
    </row>
    <row r="387" spans="5:33" ht="12.75">
      <c r="E387" s="148"/>
      <c r="F387" s="148"/>
      <c r="G387" s="148"/>
      <c r="H387" s="148"/>
      <c r="AF387" s="4"/>
      <c r="AG387" s="4"/>
    </row>
    <row r="388" spans="5:33" ht="12.75">
      <c r="E388" s="148"/>
      <c r="F388" s="148"/>
      <c r="G388" s="148"/>
      <c r="H388" s="148"/>
      <c r="AF388" s="4"/>
      <c r="AG388" s="4"/>
    </row>
    <row r="389" spans="5:33" ht="12.75">
      <c r="E389" s="148"/>
      <c r="F389" s="148"/>
      <c r="G389" s="148"/>
      <c r="H389" s="148"/>
      <c r="AF389" s="4"/>
      <c r="AG389" s="4"/>
    </row>
    <row r="390" spans="5:33" ht="12.75">
      <c r="E390" s="148"/>
      <c r="F390" s="148"/>
      <c r="G390" s="148"/>
      <c r="H390" s="148"/>
      <c r="AF390" s="4"/>
      <c r="AG390" s="4"/>
    </row>
    <row r="391" spans="5:33" ht="12.75">
      <c r="E391" s="148"/>
      <c r="F391" s="148"/>
      <c r="G391" s="148"/>
      <c r="H391" s="148"/>
      <c r="AF391" s="4"/>
      <c r="AG391" s="4"/>
    </row>
    <row r="392" spans="5:33" ht="12.75">
      <c r="E392" s="148"/>
      <c r="F392" s="148"/>
      <c r="G392" s="148"/>
      <c r="H392" s="148"/>
      <c r="AF392" s="4"/>
      <c r="AG392" s="4"/>
    </row>
    <row r="393" spans="5:33" ht="12.75">
      <c r="E393" s="148"/>
      <c r="F393" s="148"/>
      <c r="G393" s="148"/>
      <c r="H393" s="148"/>
      <c r="AF393" s="4"/>
      <c r="AG393" s="4"/>
    </row>
    <row r="394" spans="5:33" ht="12.75">
      <c r="E394" s="148"/>
      <c r="F394" s="148"/>
      <c r="G394" s="148"/>
      <c r="H394" s="148"/>
      <c r="AF394" s="4"/>
      <c r="AG394" s="4"/>
    </row>
    <row r="395" spans="5:33" ht="12.75">
      <c r="E395" s="148"/>
      <c r="F395" s="148"/>
      <c r="G395" s="148"/>
      <c r="H395" s="148"/>
      <c r="AF395" s="4"/>
      <c r="AG395" s="4"/>
    </row>
    <row r="396" spans="5:33" ht="12.75">
      <c r="E396" s="148"/>
      <c r="F396" s="148"/>
      <c r="G396" s="148"/>
      <c r="H396" s="148"/>
      <c r="AF396" s="4"/>
      <c r="AG396" s="4"/>
    </row>
    <row r="397" spans="5:33" ht="12.75">
      <c r="E397" s="148"/>
      <c r="F397" s="148"/>
      <c r="G397" s="148"/>
      <c r="H397" s="148"/>
      <c r="AF397" s="4"/>
      <c r="AG397" s="4"/>
    </row>
    <row r="398" spans="5:33" ht="12.75">
      <c r="E398" s="148"/>
      <c r="F398" s="148"/>
      <c r="G398" s="148"/>
      <c r="H398" s="148"/>
      <c r="AF398" s="4"/>
      <c r="AG398" s="4"/>
    </row>
    <row r="399" spans="5:33" ht="12.75">
      <c r="E399" s="148"/>
      <c r="F399" s="148"/>
      <c r="G399" s="148"/>
      <c r="H399" s="148"/>
      <c r="AF399" s="4"/>
      <c r="AG399" s="4"/>
    </row>
    <row r="400" spans="5:33" ht="12.75">
      <c r="E400" s="148"/>
      <c r="F400" s="148"/>
      <c r="G400" s="148"/>
      <c r="H400" s="148"/>
      <c r="AF400" s="4"/>
      <c r="AG400" s="4"/>
    </row>
    <row r="401" spans="5:33" ht="12.75">
      <c r="E401" s="148"/>
      <c r="F401" s="148"/>
      <c r="G401" s="148"/>
      <c r="H401" s="148"/>
      <c r="AF401" s="4"/>
      <c r="AG401" s="4"/>
    </row>
    <row r="402" spans="5:33" ht="12.75">
      <c r="E402" s="148"/>
      <c r="F402" s="148"/>
      <c r="G402" s="148"/>
      <c r="H402" s="148"/>
      <c r="AF402" s="4"/>
      <c r="AG402" s="4"/>
    </row>
    <row r="403" spans="5:33" ht="12.75">
      <c r="E403" s="148"/>
      <c r="F403" s="148"/>
      <c r="G403" s="148"/>
      <c r="H403" s="148"/>
      <c r="AF403" s="4"/>
      <c r="AG403" s="4"/>
    </row>
    <row r="404" spans="5:33" ht="12.75">
      <c r="E404" s="148"/>
      <c r="F404" s="148"/>
      <c r="G404" s="148"/>
      <c r="H404" s="148"/>
      <c r="AF404" s="4"/>
      <c r="AG404" s="4"/>
    </row>
    <row r="405" spans="5:33" ht="12.75">
      <c r="E405" s="148"/>
      <c r="F405" s="148"/>
      <c r="G405" s="148"/>
      <c r="H405" s="148"/>
      <c r="AF405" s="4"/>
      <c r="AG405" s="4"/>
    </row>
    <row r="406" spans="5:33" ht="12.75">
      <c r="E406" s="148"/>
      <c r="F406" s="148"/>
      <c r="G406" s="148"/>
      <c r="H406" s="148"/>
      <c r="AF406" s="4"/>
      <c r="AG406" s="4"/>
    </row>
    <row r="407" spans="5:33" ht="12.75">
      <c r="E407" s="148"/>
      <c r="F407" s="148"/>
      <c r="G407" s="148"/>
      <c r="H407" s="148"/>
      <c r="AF407" s="4"/>
      <c r="AG407" s="4"/>
    </row>
    <row r="408" spans="5:33" ht="12.75">
      <c r="E408" s="148"/>
      <c r="F408" s="148"/>
      <c r="G408" s="148"/>
      <c r="H408" s="148"/>
      <c r="AF408" s="4"/>
      <c r="AG408" s="4"/>
    </row>
    <row r="409" spans="5:33" ht="12.75">
      <c r="E409" s="148"/>
      <c r="F409" s="148"/>
      <c r="G409" s="148"/>
      <c r="H409" s="148"/>
      <c r="AF409" s="4"/>
      <c r="AG409" s="4"/>
    </row>
    <row r="410" spans="5:33" ht="12.75">
      <c r="E410" s="148"/>
      <c r="F410" s="148"/>
      <c r="G410" s="148"/>
      <c r="H410" s="148"/>
      <c r="AF410" s="4"/>
      <c r="AG410" s="4"/>
    </row>
    <row r="411" spans="5:33" ht="12.75">
      <c r="E411" s="148"/>
      <c r="F411" s="148"/>
      <c r="G411" s="148"/>
      <c r="H411" s="148"/>
      <c r="AF411" s="4"/>
      <c r="AG411" s="4"/>
    </row>
    <row r="412" spans="5:33" ht="12.75">
      <c r="E412" s="148"/>
      <c r="F412" s="148"/>
      <c r="G412" s="148"/>
      <c r="H412" s="148"/>
      <c r="AF412" s="4"/>
      <c r="AG412" s="4"/>
    </row>
    <row r="413" spans="5:33" ht="12.75">
      <c r="E413" s="148"/>
      <c r="F413" s="148"/>
      <c r="G413" s="148"/>
      <c r="H413" s="148"/>
      <c r="AF413" s="4"/>
      <c r="AG413" s="4"/>
    </row>
    <row r="414" spans="5:33" ht="12.75">
      <c r="E414" s="148"/>
      <c r="F414" s="148"/>
      <c r="G414" s="148"/>
      <c r="H414" s="148"/>
      <c r="AF414" s="4"/>
      <c r="AG414" s="4"/>
    </row>
    <row r="415" spans="5:33" ht="12.75">
      <c r="E415" s="148"/>
      <c r="F415" s="148"/>
      <c r="G415" s="148"/>
      <c r="H415" s="148"/>
      <c r="AF415" s="4"/>
      <c r="AG415" s="4"/>
    </row>
    <row r="416" spans="5:33" ht="12.75">
      <c r="E416" s="148"/>
      <c r="F416" s="148"/>
      <c r="G416" s="148"/>
      <c r="H416" s="148"/>
      <c r="AF416" s="4"/>
      <c r="AG416" s="4"/>
    </row>
    <row r="417" spans="5:33" ht="12.75">
      <c r="E417" s="148"/>
      <c r="F417" s="148"/>
      <c r="G417" s="148"/>
      <c r="H417" s="148"/>
      <c r="AF417" s="4"/>
      <c r="AG417" s="4"/>
    </row>
    <row r="418" spans="5:33" ht="12.75">
      <c r="E418" s="148"/>
      <c r="F418" s="148"/>
      <c r="G418" s="148"/>
      <c r="H418" s="148"/>
      <c r="AF418" s="4"/>
      <c r="AG418" s="4"/>
    </row>
    <row r="419" spans="5:33" ht="12.75">
      <c r="E419" s="148"/>
      <c r="F419" s="148"/>
      <c r="G419" s="148"/>
      <c r="H419" s="148"/>
      <c r="AF419" s="4"/>
      <c r="AG419" s="4"/>
    </row>
    <row r="420" spans="5:33" ht="12.75">
      <c r="E420" s="148"/>
      <c r="F420" s="148"/>
      <c r="G420" s="148"/>
      <c r="H420" s="148"/>
      <c r="AF420" s="4"/>
      <c r="AG420" s="4"/>
    </row>
    <row r="421" spans="5:33" ht="12.75">
      <c r="E421" s="148"/>
      <c r="F421" s="148"/>
      <c r="G421" s="148"/>
      <c r="H421" s="148"/>
      <c r="AF421" s="4"/>
      <c r="AG421" s="4"/>
    </row>
    <row r="422" spans="5:33" ht="12.75">
      <c r="E422" s="148"/>
      <c r="F422" s="148"/>
      <c r="G422" s="148"/>
      <c r="H422" s="148"/>
      <c r="AF422" s="4"/>
      <c r="AG422" s="4"/>
    </row>
    <row r="423" spans="5:33" ht="12.75">
      <c r="E423" s="148"/>
      <c r="F423" s="148"/>
      <c r="G423" s="148"/>
      <c r="H423" s="148"/>
      <c r="AF423" s="4"/>
      <c r="AG423" s="4"/>
    </row>
    <row r="424" spans="5:33" ht="12.75">
      <c r="E424" s="148"/>
      <c r="F424" s="148"/>
      <c r="G424" s="148"/>
      <c r="H424" s="148"/>
      <c r="AF424" s="4"/>
      <c r="AG424" s="4"/>
    </row>
    <row r="425" spans="5:33" ht="12.75">
      <c r="E425" s="148"/>
      <c r="F425" s="148"/>
      <c r="G425" s="148"/>
      <c r="H425" s="148"/>
      <c r="AF425" s="4"/>
      <c r="AG425" s="4"/>
    </row>
    <row r="426" spans="5:33" ht="12.75">
      <c r="E426" s="148"/>
      <c r="F426" s="148"/>
      <c r="G426" s="148"/>
      <c r="H426" s="148"/>
      <c r="AF426" s="4"/>
      <c r="AG426" s="4"/>
    </row>
    <row r="427" spans="5:33" ht="12.75">
      <c r="E427" s="148"/>
      <c r="F427" s="148"/>
      <c r="G427" s="148"/>
      <c r="H427" s="148"/>
      <c r="AF427" s="4"/>
      <c r="AG427" s="4"/>
    </row>
    <row r="428" spans="5:33" ht="12.75">
      <c r="E428" s="148"/>
      <c r="F428" s="148"/>
      <c r="G428" s="148"/>
      <c r="H428" s="148"/>
      <c r="AF428" s="4"/>
      <c r="AG428" s="4"/>
    </row>
    <row r="429" spans="5:33" ht="12.75">
      <c r="E429" s="148"/>
      <c r="F429" s="148"/>
      <c r="G429" s="148"/>
      <c r="H429" s="148"/>
      <c r="AF429" s="4"/>
      <c r="AG429" s="4"/>
    </row>
    <row r="430" spans="5:33" ht="12.75">
      <c r="E430" s="148"/>
      <c r="F430" s="148"/>
      <c r="G430" s="148"/>
      <c r="H430" s="148"/>
      <c r="AF430" s="4"/>
      <c r="AG430" s="4"/>
    </row>
    <row r="431" spans="5:33" ht="12.75">
      <c r="E431" s="148"/>
      <c r="F431" s="148"/>
      <c r="G431" s="148"/>
      <c r="H431" s="148"/>
      <c r="AF431" s="4"/>
      <c r="AG431" s="4"/>
    </row>
    <row r="432" spans="5:33" ht="12.75">
      <c r="E432" s="148"/>
      <c r="F432" s="148"/>
      <c r="G432" s="148"/>
      <c r="H432" s="148"/>
      <c r="AF432" s="4"/>
      <c r="AG432" s="4"/>
    </row>
    <row r="433" spans="5:33" ht="12.75">
      <c r="E433" s="148"/>
      <c r="F433" s="148"/>
      <c r="G433" s="148"/>
      <c r="H433" s="148"/>
      <c r="AF433" s="4"/>
      <c r="AG433" s="4"/>
    </row>
    <row r="434" spans="5:33" ht="12.75">
      <c r="E434" s="148"/>
      <c r="F434" s="148"/>
      <c r="G434" s="148"/>
      <c r="H434" s="148"/>
      <c r="AF434" s="4"/>
      <c r="AG434" s="4"/>
    </row>
    <row r="435" spans="5:33" ht="12.75">
      <c r="E435" s="148"/>
      <c r="F435" s="148"/>
      <c r="G435" s="148"/>
      <c r="H435" s="148"/>
      <c r="AF435" s="4"/>
      <c r="AG435" s="4"/>
    </row>
    <row r="436" spans="5:33" ht="12.75">
      <c r="E436" s="148"/>
      <c r="F436" s="148"/>
      <c r="G436" s="148"/>
      <c r="H436" s="148"/>
      <c r="AF436" s="4"/>
      <c r="AG436" s="4"/>
    </row>
    <row r="437" spans="5:33" ht="12.75">
      <c r="E437" s="148"/>
      <c r="F437" s="148"/>
      <c r="G437" s="148"/>
      <c r="H437" s="148"/>
      <c r="AF437" s="4"/>
      <c r="AG437" s="4"/>
    </row>
    <row r="438" spans="5:33" ht="12.75">
      <c r="E438" s="148"/>
      <c r="F438" s="148"/>
      <c r="G438" s="148"/>
      <c r="H438" s="148"/>
      <c r="AF438" s="4"/>
      <c r="AG438" s="4"/>
    </row>
    <row r="439" spans="5:33" ht="12.75">
      <c r="E439" s="148"/>
      <c r="F439" s="148"/>
      <c r="G439" s="148"/>
      <c r="H439" s="148"/>
      <c r="AF439" s="4"/>
      <c r="AG439" s="4"/>
    </row>
    <row r="440" spans="5:33" ht="12.75">
      <c r="E440" s="148"/>
      <c r="F440" s="148"/>
      <c r="G440" s="148"/>
      <c r="H440" s="148"/>
      <c r="AF440" s="4"/>
      <c r="AG440" s="4"/>
    </row>
    <row r="441" spans="5:33" ht="12.75">
      <c r="E441" s="148"/>
      <c r="F441" s="148"/>
      <c r="G441" s="148"/>
      <c r="H441" s="148"/>
      <c r="AF441" s="4"/>
      <c r="AG441" s="4"/>
    </row>
    <row r="442" spans="5:33" ht="12.75">
      <c r="E442" s="148"/>
      <c r="F442" s="148"/>
      <c r="G442" s="148"/>
      <c r="H442" s="148"/>
      <c r="AF442" s="4"/>
      <c r="AG442" s="4"/>
    </row>
    <row r="443" spans="5:33" ht="12.75">
      <c r="E443" s="148"/>
      <c r="F443" s="148"/>
      <c r="G443" s="148"/>
      <c r="H443" s="148"/>
      <c r="AF443" s="4"/>
      <c r="AG443" s="4"/>
    </row>
    <row r="444" spans="5:33" ht="12.75">
      <c r="E444" s="148"/>
      <c r="F444" s="148"/>
      <c r="G444" s="148"/>
      <c r="H444" s="148"/>
      <c r="AF444" s="4"/>
      <c r="AG444" s="4"/>
    </row>
    <row r="445" spans="5:33" ht="12.75">
      <c r="E445" s="148"/>
      <c r="F445" s="148"/>
      <c r="G445" s="148"/>
      <c r="H445" s="148"/>
      <c r="AF445" s="4"/>
      <c r="AG445" s="4"/>
    </row>
    <row r="446" spans="5:33" ht="12.75">
      <c r="E446" s="148"/>
      <c r="F446" s="148"/>
      <c r="G446" s="148"/>
      <c r="H446" s="148"/>
      <c r="AF446" s="4"/>
      <c r="AG446" s="4"/>
    </row>
    <row r="447" spans="5:33" ht="12.75">
      <c r="E447" s="148"/>
      <c r="F447" s="148"/>
      <c r="G447" s="148"/>
      <c r="H447" s="148"/>
      <c r="AF447" s="4"/>
      <c r="AG447" s="4"/>
    </row>
    <row r="448" spans="5:33" ht="12.75">
      <c r="E448" s="148"/>
      <c r="F448" s="148"/>
      <c r="G448" s="148"/>
      <c r="H448" s="148"/>
      <c r="AF448" s="4"/>
      <c r="AG448" s="4"/>
    </row>
    <row r="449" spans="5:33" ht="12.75">
      <c r="E449" s="148"/>
      <c r="F449" s="148"/>
      <c r="G449" s="148"/>
      <c r="H449" s="148"/>
      <c r="AF449" s="4"/>
      <c r="AG449" s="4"/>
    </row>
    <row r="450" spans="5:33" ht="12.75">
      <c r="E450" s="148"/>
      <c r="F450" s="148"/>
      <c r="G450" s="148"/>
      <c r="H450" s="148"/>
      <c r="AF450" s="4"/>
      <c r="AG450" s="4"/>
    </row>
    <row r="451" spans="5:33" ht="12.75">
      <c r="E451" s="148"/>
      <c r="F451" s="148"/>
      <c r="G451" s="148"/>
      <c r="H451" s="148"/>
      <c r="AF451" s="4"/>
      <c r="AG451" s="4"/>
    </row>
    <row r="452" spans="5:33" ht="12.75">
      <c r="E452" s="148"/>
      <c r="F452" s="148"/>
      <c r="G452" s="148"/>
      <c r="H452" s="148"/>
      <c r="AF452" s="4"/>
      <c r="AG452" s="4"/>
    </row>
    <row r="453" spans="5:33" ht="12.75">
      <c r="E453" s="148"/>
      <c r="F453" s="148"/>
      <c r="G453" s="148"/>
      <c r="H453" s="148"/>
      <c r="AF453" s="4"/>
      <c r="AG453" s="4"/>
    </row>
    <row r="454" spans="5:33" ht="12.75">
      <c r="E454" s="148"/>
      <c r="F454" s="148"/>
      <c r="G454" s="148"/>
      <c r="H454" s="148"/>
      <c r="AF454" s="4"/>
      <c r="AG454" s="4"/>
    </row>
    <row r="455" spans="5:33" ht="12.75">
      <c r="E455" s="148"/>
      <c r="F455" s="148"/>
      <c r="G455" s="148"/>
      <c r="H455" s="148"/>
      <c r="AF455" s="4"/>
      <c r="AG455" s="4"/>
    </row>
    <row r="456" spans="5:33" ht="12.75">
      <c r="E456" s="148"/>
      <c r="F456" s="148"/>
      <c r="G456" s="148"/>
      <c r="H456" s="148"/>
      <c r="AF456" s="4"/>
      <c r="AG456" s="4"/>
    </row>
    <row r="457" spans="5:33" ht="12.75">
      <c r="E457" s="148"/>
      <c r="F457" s="148"/>
      <c r="G457" s="148"/>
      <c r="H457" s="148"/>
      <c r="AF457" s="4"/>
      <c r="AG457" s="4"/>
    </row>
    <row r="458" spans="5:33" ht="12.75">
      <c r="E458" s="148"/>
      <c r="F458" s="148"/>
      <c r="G458" s="148"/>
      <c r="H458" s="148"/>
      <c r="AF458" s="4"/>
      <c r="AG458" s="4"/>
    </row>
    <row r="459" spans="5:33" ht="12.75">
      <c r="E459" s="148"/>
      <c r="F459" s="148"/>
      <c r="G459" s="148"/>
      <c r="H459" s="148"/>
      <c r="AF459" s="4"/>
      <c r="AG459" s="4"/>
    </row>
    <row r="460" spans="5:33" ht="12.75">
      <c r="E460" s="148"/>
      <c r="F460" s="148"/>
      <c r="G460" s="148"/>
      <c r="H460" s="148"/>
      <c r="AF460" s="4"/>
      <c r="AG460" s="4"/>
    </row>
    <row r="461" spans="5:33" ht="12.75">
      <c r="E461" s="148"/>
      <c r="F461" s="148"/>
      <c r="G461" s="148"/>
      <c r="H461" s="148"/>
      <c r="AF461" s="4"/>
      <c r="AG461" s="4"/>
    </row>
    <row r="462" spans="5:33" ht="12.75">
      <c r="E462" s="148"/>
      <c r="F462" s="148"/>
      <c r="G462" s="148"/>
      <c r="H462" s="148"/>
      <c r="AF462" s="4"/>
      <c r="AG462" s="4"/>
    </row>
    <row r="463" spans="5:33" ht="12.75">
      <c r="E463" s="148"/>
      <c r="F463" s="148"/>
      <c r="G463" s="148"/>
      <c r="H463" s="148"/>
      <c r="AF463" s="4"/>
      <c r="AG463" s="4"/>
    </row>
    <row r="464" spans="5:33" ht="12.75">
      <c r="E464" s="148"/>
      <c r="F464" s="148"/>
      <c r="G464" s="148"/>
      <c r="H464" s="148"/>
      <c r="AF464" s="4"/>
      <c r="AG464" s="4"/>
    </row>
    <row r="465" spans="5:33" ht="12.75">
      <c r="E465" s="148"/>
      <c r="F465" s="148"/>
      <c r="G465" s="148"/>
      <c r="H465" s="148"/>
      <c r="AF465" s="4"/>
      <c r="AG465" s="4"/>
    </row>
    <row r="466" spans="5:33" ht="12.75">
      <c r="E466" s="148"/>
      <c r="F466" s="148"/>
      <c r="G466" s="148"/>
      <c r="H466" s="148"/>
      <c r="AF466" s="4"/>
      <c r="AG466" s="4"/>
    </row>
    <row r="467" spans="5:33" ht="12.75">
      <c r="E467" s="148"/>
      <c r="F467" s="148"/>
      <c r="G467" s="148"/>
      <c r="H467" s="148"/>
      <c r="AF467" s="4"/>
      <c r="AG467" s="4"/>
    </row>
    <row r="468" spans="5:33" ht="12.75">
      <c r="E468" s="148"/>
      <c r="F468" s="148"/>
      <c r="G468" s="148"/>
      <c r="H468" s="148"/>
      <c r="AF468" s="4"/>
      <c r="AG468" s="4"/>
    </row>
    <row r="469" spans="5:33" ht="12.75">
      <c r="E469" s="148"/>
      <c r="F469" s="148"/>
      <c r="G469" s="148"/>
      <c r="H469" s="148"/>
      <c r="AF469" s="4"/>
      <c r="AG469" s="4"/>
    </row>
    <row r="470" spans="5:33" ht="12.75">
      <c r="E470" s="148"/>
      <c r="F470" s="148"/>
      <c r="G470" s="148"/>
      <c r="H470" s="148"/>
      <c r="AF470" s="4"/>
      <c r="AG470" s="4"/>
    </row>
    <row r="471" spans="5:33" ht="12.75">
      <c r="E471" s="148"/>
      <c r="F471" s="148"/>
      <c r="G471" s="148"/>
      <c r="H471" s="148"/>
      <c r="AF471" s="4"/>
      <c r="AG471" s="4"/>
    </row>
    <row r="472" spans="5:33" ht="12.75">
      <c r="E472" s="148"/>
      <c r="F472" s="148"/>
      <c r="G472" s="148"/>
      <c r="H472" s="148"/>
      <c r="AF472" s="4"/>
      <c r="AG472" s="4"/>
    </row>
    <row r="473" spans="5:33" ht="12.75">
      <c r="E473" s="148"/>
      <c r="F473" s="148"/>
      <c r="G473" s="148"/>
      <c r="H473" s="148"/>
      <c r="AF473" s="4"/>
      <c r="AG473" s="4"/>
    </row>
    <row r="474" spans="5:33" ht="12.75">
      <c r="E474" s="148"/>
      <c r="F474" s="148"/>
      <c r="G474" s="148"/>
      <c r="H474" s="148"/>
      <c r="AF474" s="4"/>
      <c r="AG474" s="4"/>
    </row>
    <row r="475" spans="5:33" ht="12.75">
      <c r="E475" s="148"/>
      <c r="F475" s="148"/>
      <c r="G475" s="148"/>
      <c r="H475" s="148"/>
      <c r="AF475" s="4"/>
      <c r="AG475" s="4"/>
    </row>
    <row r="476" spans="5:33" ht="12.75">
      <c r="E476" s="148"/>
      <c r="F476" s="148"/>
      <c r="G476" s="148"/>
      <c r="H476" s="148"/>
      <c r="AF476" s="4"/>
      <c r="AG476" s="4"/>
    </row>
    <row r="477" spans="5:33" ht="12.75">
      <c r="E477" s="148"/>
      <c r="F477" s="148"/>
      <c r="G477" s="148"/>
      <c r="H477" s="148"/>
      <c r="AF477" s="4"/>
      <c r="AG477" s="4"/>
    </row>
    <row r="478" spans="5:33" ht="12.75">
      <c r="E478" s="148"/>
      <c r="F478" s="148"/>
      <c r="G478" s="148"/>
      <c r="H478" s="148"/>
      <c r="AF478" s="4"/>
      <c r="AG478" s="4"/>
    </row>
    <row r="479" spans="5:33" ht="12.75">
      <c r="E479" s="148"/>
      <c r="F479" s="148"/>
      <c r="G479" s="148"/>
      <c r="H479" s="148"/>
      <c r="AF479" s="4"/>
      <c r="AG479" s="4"/>
    </row>
    <row r="480" spans="5:33" ht="12.75">
      <c r="E480" s="148"/>
      <c r="F480" s="148"/>
      <c r="G480" s="148"/>
      <c r="H480" s="148"/>
      <c r="AF480" s="4"/>
      <c r="AG480" s="4"/>
    </row>
    <row r="481" spans="5:33" ht="12.75">
      <c r="E481" s="148"/>
      <c r="F481" s="148"/>
      <c r="G481" s="148"/>
      <c r="H481" s="148"/>
      <c r="AF481" s="4"/>
      <c r="AG481" s="4"/>
    </row>
    <row r="482" spans="5:33" ht="12.75">
      <c r="E482" s="148"/>
      <c r="F482" s="148"/>
      <c r="G482" s="148"/>
      <c r="H482" s="148"/>
      <c r="AF482" s="4"/>
      <c r="AG482" s="4"/>
    </row>
    <row r="483" spans="5:33" ht="12.75">
      <c r="E483" s="148"/>
      <c r="F483" s="148"/>
      <c r="G483" s="148"/>
      <c r="H483" s="148"/>
      <c r="AF483" s="4"/>
      <c r="AG483" s="4"/>
    </row>
    <row r="484" spans="5:33" ht="12.75">
      <c r="E484" s="148"/>
      <c r="F484" s="148"/>
      <c r="G484" s="148"/>
      <c r="H484" s="148"/>
      <c r="AF484" s="4"/>
      <c r="AG484" s="4"/>
    </row>
    <row r="485" spans="5:33" ht="12.75">
      <c r="E485" s="148"/>
      <c r="F485" s="148"/>
      <c r="G485" s="148"/>
      <c r="H485" s="148"/>
      <c r="AF485" s="4"/>
      <c r="AG485" s="4"/>
    </row>
    <row r="486" spans="5:33" ht="12.75">
      <c r="E486" s="148"/>
      <c r="F486" s="148"/>
      <c r="G486" s="148"/>
      <c r="H486" s="148"/>
      <c r="AF486" s="4"/>
      <c r="AG486" s="4"/>
    </row>
    <row r="487" spans="5:33" ht="12.75">
      <c r="E487" s="148"/>
      <c r="F487" s="148"/>
      <c r="G487" s="148"/>
      <c r="H487" s="148"/>
      <c r="AF487" s="4"/>
      <c r="AG487" s="4"/>
    </row>
    <row r="488" spans="5:33" ht="12.75">
      <c r="E488" s="148"/>
      <c r="F488" s="148"/>
      <c r="G488" s="148"/>
      <c r="H488" s="148"/>
      <c r="AF488" s="4"/>
      <c r="AG488" s="4"/>
    </row>
    <row r="489" spans="5:33" ht="12.75">
      <c r="E489" s="148"/>
      <c r="F489" s="148"/>
      <c r="G489" s="148"/>
      <c r="H489" s="148"/>
      <c r="AF489" s="4"/>
      <c r="AG489" s="4"/>
    </row>
    <row r="490" spans="5:33" ht="12.75">
      <c r="E490" s="148"/>
      <c r="F490" s="148"/>
      <c r="G490" s="148"/>
      <c r="H490" s="148"/>
      <c r="AF490" s="4"/>
      <c r="AG490" s="4"/>
    </row>
    <row r="491" spans="5:33" ht="12.75">
      <c r="E491" s="148"/>
      <c r="F491" s="148"/>
      <c r="G491" s="148"/>
      <c r="H491" s="148"/>
      <c r="AF491" s="4"/>
      <c r="AG491" s="4"/>
    </row>
    <row r="492" spans="5:33" ht="12.75">
      <c r="E492" s="148"/>
      <c r="F492" s="148"/>
      <c r="G492" s="148"/>
      <c r="H492" s="148"/>
      <c r="AF492" s="4"/>
      <c r="AG492" s="4"/>
    </row>
    <row r="493" spans="5:33" ht="12.75">
      <c r="E493" s="148"/>
      <c r="F493" s="148"/>
      <c r="G493" s="148"/>
      <c r="H493" s="148"/>
      <c r="AF493" s="4"/>
      <c r="AG493" s="4"/>
    </row>
    <row r="494" spans="5:33" ht="12.75">
      <c r="E494" s="148"/>
      <c r="F494" s="148"/>
      <c r="G494" s="148"/>
      <c r="H494" s="148"/>
      <c r="AF494" s="4"/>
      <c r="AG494" s="4"/>
    </row>
    <row r="495" spans="5:33" ht="12.75">
      <c r="E495" s="148"/>
      <c r="F495" s="148"/>
      <c r="G495" s="148"/>
      <c r="H495" s="148"/>
      <c r="AF495" s="4"/>
      <c r="AG495" s="4"/>
    </row>
    <row r="496" spans="5:33" ht="12.75">
      <c r="E496" s="148"/>
      <c r="F496" s="148"/>
      <c r="G496" s="148"/>
      <c r="H496" s="148"/>
      <c r="AF496" s="4"/>
      <c r="AG496" s="4"/>
    </row>
    <row r="497" spans="5:33" ht="12.75">
      <c r="E497" s="148"/>
      <c r="F497" s="148"/>
      <c r="G497" s="148"/>
      <c r="H497" s="148"/>
      <c r="AF497" s="4"/>
      <c r="AG497" s="4"/>
    </row>
    <row r="498" spans="5:33" ht="12.75">
      <c r="E498" s="148"/>
      <c r="F498" s="148"/>
      <c r="G498" s="148"/>
      <c r="H498" s="148"/>
      <c r="AF498" s="4"/>
      <c r="AG498" s="4"/>
    </row>
    <row r="499" spans="5:33" ht="12.75">
      <c r="E499" s="148"/>
      <c r="F499" s="148"/>
      <c r="G499" s="148"/>
      <c r="H499" s="148"/>
      <c r="AF499" s="4"/>
      <c r="AG499" s="4"/>
    </row>
    <row r="500" spans="5:33" ht="12.75">
      <c r="E500" s="148"/>
      <c r="F500" s="148"/>
      <c r="G500" s="148"/>
      <c r="H500" s="148"/>
      <c r="AF500" s="4"/>
      <c r="AG500" s="4"/>
    </row>
    <row r="501" spans="5:33" ht="12.75">
      <c r="E501" s="148"/>
      <c r="F501" s="148"/>
      <c r="G501" s="148"/>
      <c r="H501" s="148"/>
      <c r="AF501" s="4"/>
      <c r="AG501" s="4"/>
    </row>
    <row r="502" spans="5:33" ht="12.75">
      <c r="E502" s="148"/>
      <c r="F502" s="148"/>
      <c r="G502" s="148"/>
      <c r="H502" s="148"/>
      <c r="AF502" s="4"/>
      <c r="AG502" s="4"/>
    </row>
    <row r="503" spans="5:33" ht="12.75">
      <c r="E503" s="148"/>
      <c r="F503" s="148"/>
      <c r="G503" s="148"/>
      <c r="H503" s="148"/>
      <c r="AF503" s="4"/>
      <c r="AG503" s="4"/>
    </row>
    <row r="504" spans="5:33" ht="12.75">
      <c r="E504" s="148"/>
      <c r="F504" s="148"/>
      <c r="G504" s="148"/>
      <c r="H504" s="148"/>
      <c r="AF504" s="4"/>
      <c r="AG504" s="4"/>
    </row>
    <row r="505" spans="5:33" ht="12.75">
      <c r="E505" s="148"/>
      <c r="F505" s="148"/>
      <c r="G505" s="148"/>
      <c r="H505" s="148"/>
      <c r="AF505" s="4"/>
      <c r="AG505" s="4"/>
    </row>
    <row r="506" spans="5:33" ht="12.75">
      <c r="E506" s="148"/>
      <c r="F506" s="148"/>
      <c r="G506" s="148"/>
      <c r="H506" s="148"/>
      <c r="AF506" s="4"/>
      <c r="AG506" s="4"/>
    </row>
    <row r="507" spans="5:33" ht="12.75">
      <c r="E507" s="148"/>
      <c r="F507" s="148"/>
      <c r="G507" s="148"/>
      <c r="H507" s="148"/>
      <c r="AF507" s="4"/>
      <c r="AG507" s="4"/>
    </row>
    <row r="508" spans="5:33" ht="12.75">
      <c r="E508" s="148"/>
      <c r="F508" s="148"/>
      <c r="G508" s="148"/>
      <c r="H508" s="148"/>
      <c r="AF508" s="4"/>
      <c r="AG508" s="4"/>
    </row>
    <row r="509" spans="5:33" ht="12.75">
      <c r="E509" s="148"/>
      <c r="F509" s="148"/>
      <c r="G509" s="148"/>
      <c r="H509" s="148"/>
      <c r="AF509" s="4"/>
      <c r="AG509" s="4"/>
    </row>
    <row r="510" spans="5:33" ht="12.75">
      <c r="E510" s="148"/>
      <c r="F510" s="148"/>
      <c r="G510" s="148"/>
      <c r="H510" s="148"/>
      <c r="AF510" s="4"/>
      <c r="AG510" s="4"/>
    </row>
    <row r="511" spans="5:33" ht="12.75">
      <c r="E511" s="148"/>
      <c r="F511" s="148"/>
      <c r="G511" s="148"/>
      <c r="H511" s="148"/>
      <c r="AF511" s="4"/>
      <c r="AG511" s="4"/>
    </row>
    <row r="512" spans="5:33" ht="12.75">
      <c r="E512" s="148"/>
      <c r="F512" s="148"/>
      <c r="G512" s="148"/>
      <c r="H512" s="148"/>
      <c r="AF512" s="4"/>
      <c r="AG512" s="4"/>
    </row>
    <row r="513" spans="5:33" ht="12.75">
      <c r="E513" s="148"/>
      <c r="F513" s="148"/>
      <c r="G513" s="148"/>
      <c r="H513" s="148"/>
      <c r="AF513" s="4"/>
      <c r="AG513" s="4"/>
    </row>
    <row r="514" spans="5:33" ht="12.75">
      <c r="E514" s="148"/>
      <c r="F514" s="148"/>
      <c r="G514" s="148"/>
      <c r="H514" s="148"/>
      <c r="AF514" s="4"/>
      <c r="AG514" s="4"/>
    </row>
    <row r="515" spans="5:33" ht="12.75">
      <c r="E515" s="148"/>
      <c r="F515" s="148"/>
      <c r="G515" s="148"/>
      <c r="H515" s="148"/>
      <c r="AF515" s="4"/>
      <c r="AG515" s="4"/>
    </row>
    <row r="516" spans="5:33" ht="12.75">
      <c r="E516" s="148"/>
      <c r="F516" s="148"/>
      <c r="G516" s="148"/>
      <c r="H516" s="148"/>
      <c r="AF516" s="4"/>
      <c r="AG516" s="4"/>
    </row>
    <row r="517" spans="5:33" ht="12.75">
      <c r="E517" s="148"/>
      <c r="F517" s="148"/>
      <c r="G517" s="148"/>
      <c r="H517" s="148"/>
      <c r="AF517" s="4"/>
      <c r="AG517" s="4"/>
    </row>
    <row r="518" spans="5:33" ht="12.75">
      <c r="E518" s="148"/>
      <c r="F518" s="148"/>
      <c r="G518" s="148"/>
      <c r="H518" s="148"/>
      <c r="AF518" s="4"/>
      <c r="AG518" s="4"/>
    </row>
    <row r="519" spans="5:33" ht="12.75">
      <c r="E519" s="148"/>
      <c r="F519" s="148"/>
      <c r="G519" s="148"/>
      <c r="H519" s="148"/>
      <c r="AF519" s="4"/>
      <c r="AG519" s="4"/>
    </row>
    <row r="520" spans="5:33" ht="12.75">
      <c r="E520" s="148"/>
      <c r="F520" s="148"/>
      <c r="G520" s="148"/>
      <c r="H520" s="148"/>
      <c r="AF520" s="4"/>
      <c r="AG520" s="4"/>
    </row>
    <row r="521" spans="5:33" ht="12.75">
      <c r="E521" s="148"/>
      <c r="F521" s="148"/>
      <c r="G521" s="148"/>
      <c r="H521" s="148"/>
      <c r="AF521" s="4"/>
      <c r="AG521" s="4"/>
    </row>
    <row r="522" spans="5:33" ht="12.75">
      <c r="E522" s="148"/>
      <c r="F522" s="148"/>
      <c r="G522" s="148"/>
      <c r="H522" s="148"/>
      <c r="AF522" s="4"/>
      <c r="AG522" s="4"/>
    </row>
    <row r="523" spans="5:33" ht="12.75">
      <c r="E523" s="148"/>
      <c r="F523" s="148"/>
      <c r="G523" s="148"/>
      <c r="H523" s="148"/>
      <c r="AF523" s="4"/>
      <c r="AG523" s="4"/>
    </row>
    <row r="524" spans="5:33" ht="12.75">
      <c r="E524" s="148"/>
      <c r="F524" s="148"/>
      <c r="G524" s="148"/>
      <c r="H524" s="148"/>
      <c r="AF524" s="4"/>
      <c r="AG524" s="4"/>
    </row>
    <row r="525" spans="5:33" ht="12.75">
      <c r="E525" s="148"/>
      <c r="F525" s="148"/>
      <c r="G525" s="148"/>
      <c r="H525" s="148"/>
      <c r="AF525" s="4"/>
      <c r="AG525" s="4"/>
    </row>
    <row r="526" spans="5:33" ht="12.75">
      <c r="E526" s="148"/>
      <c r="F526" s="148"/>
      <c r="G526" s="148"/>
      <c r="H526" s="148"/>
      <c r="AF526" s="4"/>
      <c r="AG526" s="4"/>
    </row>
    <row r="527" spans="5:33" ht="12.75">
      <c r="E527" s="148"/>
      <c r="F527" s="148"/>
      <c r="G527" s="148"/>
      <c r="H527" s="148"/>
      <c r="AF527" s="4"/>
      <c r="AG527" s="4"/>
    </row>
    <row r="528" spans="5:33" ht="12.75">
      <c r="E528" s="148"/>
      <c r="F528" s="148"/>
      <c r="G528" s="148"/>
      <c r="H528" s="148"/>
      <c r="AF528" s="4"/>
      <c r="AG528" s="4"/>
    </row>
    <row r="529" spans="5:33" ht="12.75">
      <c r="E529" s="148"/>
      <c r="F529" s="148"/>
      <c r="G529" s="148"/>
      <c r="H529" s="148"/>
      <c r="AF529" s="4"/>
      <c r="AG529" s="4"/>
    </row>
    <row r="530" spans="5:33" ht="12.75">
      <c r="E530" s="148"/>
      <c r="F530" s="148"/>
      <c r="G530" s="148"/>
      <c r="H530" s="148"/>
      <c r="AF530" s="4"/>
      <c r="AG530" s="4"/>
    </row>
    <row r="531" spans="5:33" ht="12.75">
      <c r="E531" s="148"/>
      <c r="F531" s="148"/>
      <c r="G531" s="148"/>
      <c r="H531" s="148"/>
      <c r="AF531" s="4"/>
      <c r="AG531" s="4"/>
    </row>
    <row r="532" spans="5:33" ht="12.75">
      <c r="E532" s="148"/>
      <c r="F532" s="148"/>
      <c r="G532" s="148"/>
      <c r="H532" s="148"/>
      <c r="AF532" s="4"/>
      <c r="AG532" s="4"/>
    </row>
    <row r="533" spans="5:33" ht="12.75">
      <c r="E533" s="148"/>
      <c r="F533" s="148"/>
      <c r="G533" s="148"/>
      <c r="H533" s="148"/>
      <c r="AF533" s="4"/>
      <c r="AG533" s="4"/>
    </row>
    <row r="534" spans="5:33" ht="12.75">
      <c r="E534" s="148"/>
      <c r="F534" s="148"/>
      <c r="G534" s="148"/>
      <c r="H534" s="148"/>
      <c r="AF534" s="4"/>
      <c r="AG534" s="4"/>
    </row>
    <row r="535" spans="5:33" ht="12.75">
      <c r="E535" s="148"/>
      <c r="F535" s="148"/>
      <c r="G535" s="148"/>
      <c r="H535" s="148"/>
      <c r="AF535" s="4"/>
      <c r="AG535" s="4"/>
    </row>
    <row r="536" spans="5:33" ht="12.75">
      <c r="E536" s="148"/>
      <c r="F536" s="148"/>
      <c r="G536" s="148"/>
      <c r="H536" s="148"/>
      <c r="AF536" s="4"/>
      <c r="AG536" s="4"/>
    </row>
    <row r="537" spans="5:33" ht="12.75">
      <c r="E537" s="148"/>
      <c r="F537" s="148"/>
      <c r="G537" s="148"/>
      <c r="H537" s="148"/>
      <c r="AF537" s="4"/>
      <c r="AG537" s="4"/>
    </row>
    <row r="538" spans="5:33" ht="12.75">
      <c r="E538" s="148"/>
      <c r="F538" s="148"/>
      <c r="G538" s="148"/>
      <c r="H538" s="148"/>
      <c r="AF538" s="4"/>
      <c r="AG538" s="4"/>
    </row>
    <row r="539" spans="5:33" ht="12.75">
      <c r="E539" s="148"/>
      <c r="F539" s="148"/>
      <c r="G539" s="148"/>
      <c r="H539" s="148"/>
      <c r="AF539" s="4"/>
      <c r="AG539" s="4"/>
    </row>
    <row r="540" spans="5:33" ht="12.75">
      <c r="E540" s="148"/>
      <c r="F540" s="148"/>
      <c r="G540" s="148"/>
      <c r="H540" s="148"/>
      <c r="AF540" s="4"/>
      <c r="AG540" s="4"/>
    </row>
    <row r="541" spans="5:33" ht="12.75">
      <c r="E541" s="148"/>
      <c r="F541" s="148"/>
      <c r="G541" s="148"/>
      <c r="H541" s="148"/>
      <c r="AF541" s="4"/>
      <c r="AG541" s="4"/>
    </row>
    <row r="542" spans="5:33" ht="12.75">
      <c r="E542" s="148"/>
      <c r="F542" s="148"/>
      <c r="G542" s="148"/>
      <c r="H542" s="148"/>
      <c r="AF542" s="4"/>
      <c r="AG542" s="4"/>
    </row>
    <row r="543" spans="5:33" ht="12.75">
      <c r="E543" s="148"/>
      <c r="F543" s="148"/>
      <c r="G543" s="148"/>
      <c r="H543" s="148"/>
      <c r="AF543" s="4"/>
      <c r="AG543" s="4"/>
    </row>
    <row r="544" spans="5:33" ht="12.75">
      <c r="E544" s="148"/>
      <c r="F544" s="148"/>
      <c r="G544" s="148"/>
      <c r="H544" s="148"/>
      <c r="AF544" s="4"/>
      <c r="AG544" s="4"/>
    </row>
    <row r="545" spans="5:33" ht="12.75">
      <c r="E545" s="148"/>
      <c r="F545" s="148"/>
      <c r="G545" s="148"/>
      <c r="H545" s="148"/>
      <c r="AF545" s="4"/>
      <c r="AG545" s="4"/>
    </row>
    <row r="546" spans="5:33" ht="12.75">
      <c r="E546" s="148"/>
      <c r="F546" s="148"/>
      <c r="G546" s="148"/>
      <c r="H546" s="148"/>
      <c r="AF546" s="4"/>
      <c r="AG546" s="4"/>
    </row>
    <row r="547" spans="5:33" ht="12.75">
      <c r="E547" s="148"/>
      <c r="F547" s="148"/>
      <c r="G547" s="148"/>
      <c r="H547" s="148"/>
      <c r="AF547" s="4"/>
      <c r="AG547" s="4"/>
    </row>
    <row r="548" spans="5:33" ht="12.75">
      <c r="E548" s="148"/>
      <c r="F548" s="148"/>
      <c r="G548" s="148"/>
      <c r="H548" s="148"/>
      <c r="AF548" s="4"/>
      <c r="AG548" s="4"/>
    </row>
    <row r="549" spans="5:33" ht="12.75">
      <c r="E549" s="148"/>
      <c r="F549" s="148"/>
      <c r="G549" s="148"/>
      <c r="H549" s="148"/>
      <c r="AF549" s="4"/>
      <c r="AG549" s="4"/>
    </row>
    <row r="550" spans="5:33" ht="12.75">
      <c r="E550" s="148"/>
      <c r="F550" s="148"/>
      <c r="G550" s="148"/>
      <c r="H550" s="148"/>
      <c r="AF550" s="4"/>
      <c r="AG550" s="4"/>
    </row>
    <row r="551" spans="5:33" ht="12.75">
      <c r="E551" s="148"/>
      <c r="F551" s="148"/>
      <c r="G551" s="148"/>
      <c r="H551" s="148"/>
      <c r="AF551" s="4"/>
      <c r="AG551" s="4"/>
    </row>
    <row r="552" spans="5:33" ht="12.75">
      <c r="E552" s="148"/>
      <c r="F552" s="148"/>
      <c r="G552" s="148"/>
      <c r="H552" s="148"/>
      <c r="AF552" s="4"/>
      <c r="AG552" s="4"/>
    </row>
    <row r="553" spans="5:33" ht="12.75">
      <c r="E553" s="148"/>
      <c r="F553" s="148"/>
      <c r="G553" s="148"/>
      <c r="H553" s="148"/>
      <c r="AF553" s="4"/>
      <c r="AG553" s="4"/>
    </row>
    <row r="554" spans="5:33" ht="12.75">
      <c r="E554" s="148"/>
      <c r="F554" s="148"/>
      <c r="G554" s="148"/>
      <c r="H554" s="148"/>
      <c r="AF554" s="4"/>
      <c r="AG554" s="4"/>
    </row>
    <row r="555" spans="5:33" ht="12.75">
      <c r="E555" s="148"/>
      <c r="F555" s="148"/>
      <c r="G555" s="148"/>
      <c r="H555" s="148"/>
      <c r="AF555" s="4"/>
      <c r="AG555" s="4"/>
    </row>
    <row r="556" spans="5:33" ht="12.75">
      <c r="E556" s="148"/>
      <c r="F556" s="148"/>
      <c r="G556" s="148"/>
      <c r="H556" s="148"/>
      <c r="AF556" s="4"/>
      <c r="AG556" s="4"/>
    </row>
    <row r="557" spans="5:33" ht="12.75">
      <c r="E557" s="148"/>
      <c r="F557" s="148"/>
      <c r="G557" s="148"/>
      <c r="H557" s="148"/>
      <c r="AF557" s="4"/>
      <c r="AG557" s="4"/>
    </row>
    <row r="558" spans="5:33" ht="12.75">
      <c r="E558" s="148"/>
      <c r="F558" s="148"/>
      <c r="G558" s="148"/>
      <c r="H558" s="148"/>
      <c r="AF558" s="4"/>
      <c r="AG558" s="4"/>
    </row>
    <row r="559" spans="5:33" ht="12.75">
      <c r="E559" s="148"/>
      <c r="F559" s="148"/>
      <c r="G559" s="148"/>
      <c r="H559" s="148"/>
      <c r="AF559" s="4"/>
      <c r="AG559" s="4"/>
    </row>
    <row r="560" spans="5:33" ht="12.75">
      <c r="E560" s="148"/>
      <c r="F560" s="148"/>
      <c r="G560" s="148"/>
      <c r="H560" s="148"/>
      <c r="AF560" s="4"/>
      <c r="AG560" s="4"/>
    </row>
    <row r="561" spans="5:33" ht="12.75">
      <c r="E561" s="148"/>
      <c r="F561" s="148"/>
      <c r="G561" s="148"/>
      <c r="H561" s="148"/>
      <c r="AF561" s="4"/>
      <c r="AG561" s="4"/>
    </row>
    <row r="562" spans="5:33" ht="12.75">
      <c r="E562" s="148"/>
      <c r="F562" s="148"/>
      <c r="G562" s="148"/>
      <c r="H562" s="148"/>
      <c r="AF562" s="4"/>
      <c r="AG562" s="4"/>
    </row>
    <row r="563" spans="5:33" ht="12.75">
      <c r="E563" s="148"/>
      <c r="F563" s="148"/>
      <c r="G563" s="148"/>
      <c r="H563" s="148"/>
      <c r="AF563" s="4"/>
      <c r="AG563" s="4"/>
    </row>
    <row r="564" spans="5:33" ht="12.75">
      <c r="E564" s="148"/>
      <c r="F564" s="148"/>
      <c r="G564" s="148"/>
      <c r="H564" s="148"/>
      <c r="AF564" s="4"/>
      <c r="AG564" s="4"/>
    </row>
    <row r="565" spans="5:33" ht="12.75">
      <c r="E565" s="148"/>
      <c r="F565" s="148"/>
      <c r="G565" s="148"/>
      <c r="H565" s="148"/>
      <c r="AF565" s="4"/>
      <c r="AG565" s="4"/>
    </row>
    <row r="566" spans="5:33" ht="12.75">
      <c r="E566" s="148"/>
      <c r="F566" s="148"/>
      <c r="G566" s="148"/>
      <c r="H566" s="148"/>
      <c r="AF566" s="4"/>
      <c r="AG566" s="4"/>
    </row>
    <row r="567" spans="5:33" ht="12.75">
      <c r="E567" s="148"/>
      <c r="F567" s="148"/>
      <c r="G567" s="148"/>
      <c r="H567" s="148"/>
      <c r="AF567" s="4"/>
      <c r="AG567" s="4"/>
    </row>
    <row r="568" spans="5:33" ht="12.75">
      <c r="E568" s="148"/>
      <c r="F568" s="148"/>
      <c r="G568" s="148"/>
      <c r="H568" s="148"/>
      <c r="AF568" s="4"/>
      <c r="AG568" s="4"/>
    </row>
    <row r="569" spans="5:33" ht="12.75">
      <c r="E569" s="148"/>
      <c r="F569" s="148"/>
      <c r="G569" s="148"/>
      <c r="H569" s="148"/>
      <c r="AF569" s="4"/>
      <c r="AG569" s="4"/>
    </row>
    <row r="570" spans="5:33" ht="12.75">
      <c r="E570" s="148"/>
      <c r="F570" s="148"/>
      <c r="G570" s="148"/>
      <c r="H570" s="148"/>
      <c r="AF570" s="4"/>
      <c r="AG570" s="4"/>
    </row>
    <row r="571" spans="5:33" ht="12.75">
      <c r="E571" s="148"/>
      <c r="F571" s="148"/>
      <c r="G571" s="148"/>
      <c r="H571" s="148"/>
      <c r="AF571" s="4"/>
      <c r="AG571" s="4"/>
    </row>
    <row r="572" spans="5:33" ht="12.75">
      <c r="E572" s="148"/>
      <c r="F572" s="148"/>
      <c r="G572" s="148"/>
      <c r="H572" s="148"/>
      <c r="AF572" s="4"/>
      <c r="AG572" s="4"/>
    </row>
    <row r="573" spans="5:33" ht="12.75">
      <c r="E573" s="148"/>
      <c r="F573" s="148"/>
      <c r="G573" s="148"/>
      <c r="H573" s="148"/>
      <c r="AF573" s="4"/>
      <c r="AG573" s="4"/>
    </row>
    <row r="574" spans="5:33" ht="12.75">
      <c r="E574" s="148"/>
      <c r="F574" s="148"/>
      <c r="G574" s="148"/>
      <c r="H574" s="148"/>
      <c r="AF574" s="4"/>
      <c r="AG574" s="4"/>
    </row>
    <row r="575" spans="5:33" ht="12.75">
      <c r="E575" s="148"/>
      <c r="F575" s="148"/>
      <c r="G575" s="148"/>
      <c r="H575" s="148"/>
      <c r="AF575" s="4"/>
      <c r="AG575" s="4"/>
    </row>
    <row r="576" spans="5:33" ht="12.75">
      <c r="E576" s="148"/>
      <c r="F576" s="148"/>
      <c r="G576" s="148"/>
      <c r="H576" s="148"/>
      <c r="AF576" s="4"/>
      <c r="AG576" s="4"/>
    </row>
    <row r="577" spans="5:33" ht="12.75">
      <c r="E577" s="148"/>
      <c r="F577" s="148"/>
      <c r="G577" s="148"/>
      <c r="H577" s="148"/>
      <c r="AF577" s="4"/>
      <c r="AG577" s="4"/>
    </row>
    <row r="578" spans="5:33" ht="12.75">
      <c r="E578" s="148"/>
      <c r="F578" s="148"/>
      <c r="G578" s="148"/>
      <c r="H578" s="148"/>
      <c r="AF578" s="4"/>
      <c r="AG578" s="4"/>
    </row>
    <row r="579" spans="5:33" ht="12.75">
      <c r="E579" s="148"/>
      <c r="F579" s="148"/>
      <c r="G579" s="148"/>
      <c r="H579" s="148"/>
      <c r="AF579" s="4"/>
      <c r="AG579" s="4"/>
    </row>
    <row r="580" spans="5:33" ht="12.75">
      <c r="E580" s="148"/>
      <c r="F580" s="148"/>
      <c r="G580" s="148"/>
      <c r="H580" s="148"/>
      <c r="AF580" s="4"/>
      <c r="AG580" s="4"/>
    </row>
    <row r="581" spans="5:33" ht="12.75">
      <c r="E581" s="148"/>
      <c r="F581" s="148"/>
      <c r="G581" s="148"/>
      <c r="H581" s="148"/>
      <c r="AF581" s="4"/>
      <c r="AG581" s="4"/>
    </row>
    <row r="582" spans="5:33" ht="12.75">
      <c r="E582" s="148"/>
      <c r="F582" s="148"/>
      <c r="G582" s="148"/>
      <c r="H582" s="148"/>
      <c r="AF582" s="4"/>
      <c r="AG582" s="4"/>
    </row>
    <row r="583" spans="5:33" ht="12.75">
      <c r="E583" s="148"/>
      <c r="F583" s="148"/>
      <c r="G583" s="148"/>
      <c r="H583" s="148"/>
      <c r="AF583" s="4"/>
      <c r="AG583" s="4"/>
    </row>
    <row r="584" spans="5:33" ht="12.75">
      <c r="E584" s="148"/>
      <c r="F584" s="148"/>
      <c r="G584" s="148"/>
      <c r="H584" s="148"/>
      <c r="AF584" s="4"/>
      <c r="AG584" s="4"/>
    </row>
    <row r="585" spans="5:33" ht="12.75">
      <c r="E585" s="148"/>
      <c r="F585" s="148"/>
      <c r="G585" s="148"/>
      <c r="H585" s="148"/>
      <c r="AF585" s="4"/>
      <c r="AG585" s="4"/>
    </row>
    <row r="586" spans="5:33" ht="12.75">
      <c r="E586" s="148"/>
      <c r="F586" s="148"/>
      <c r="G586" s="148"/>
      <c r="H586" s="148"/>
      <c r="AF586" s="4"/>
      <c r="AG586" s="4"/>
    </row>
    <row r="587" spans="5:33" ht="12.75">
      <c r="E587" s="148"/>
      <c r="F587" s="148"/>
      <c r="G587" s="148"/>
      <c r="H587" s="148"/>
      <c r="AF587" s="4"/>
      <c r="AG587" s="4"/>
    </row>
    <row r="588" spans="5:33" ht="12.75">
      <c r="E588" s="148"/>
      <c r="F588" s="148"/>
      <c r="G588" s="148"/>
      <c r="H588" s="148"/>
      <c r="AF588" s="4"/>
      <c r="AG588" s="4"/>
    </row>
    <row r="589" spans="5:33" ht="12.75">
      <c r="E589" s="148"/>
      <c r="F589" s="148"/>
      <c r="G589" s="148"/>
      <c r="H589" s="148"/>
      <c r="AF589" s="4"/>
      <c r="AG589" s="4"/>
    </row>
    <row r="590" spans="5:33" ht="12.75">
      <c r="E590" s="148"/>
      <c r="F590" s="148"/>
      <c r="G590" s="148"/>
      <c r="H590" s="148"/>
      <c r="AF590" s="4"/>
      <c r="AG590" s="4"/>
    </row>
    <row r="591" spans="5:33" ht="12.75">
      <c r="E591" s="148"/>
      <c r="F591" s="148"/>
      <c r="G591" s="148"/>
      <c r="H591" s="148"/>
      <c r="AF591" s="4"/>
      <c r="AG591" s="4"/>
    </row>
    <row r="592" spans="5:33" ht="12.75">
      <c r="E592" s="148"/>
      <c r="F592" s="148"/>
      <c r="G592" s="148"/>
      <c r="H592" s="148"/>
      <c r="AF592" s="4"/>
      <c r="AG592" s="4"/>
    </row>
    <row r="593" spans="5:33" ht="12.75">
      <c r="E593" s="148"/>
      <c r="F593" s="148"/>
      <c r="G593" s="148"/>
      <c r="H593" s="148"/>
      <c r="AF593" s="4"/>
      <c r="AG593" s="4"/>
    </row>
    <row r="594" spans="5:33" ht="12.75">
      <c r="E594" s="148"/>
      <c r="F594" s="148"/>
      <c r="G594" s="148"/>
      <c r="H594" s="148"/>
      <c r="AF594" s="4"/>
      <c r="AG594" s="4"/>
    </row>
    <row r="595" spans="5:33" ht="12.75">
      <c r="E595" s="148"/>
      <c r="F595" s="148"/>
      <c r="G595" s="148"/>
      <c r="H595" s="148"/>
      <c r="AF595" s="4"/>
      <c r="AG595" s="4"/>
    </row>
    <row r="596" spans="5:33" ht="12.75">
      <c r="E596" s="148"/>
      <c r="F596" s="148"/>
      <c r="G596" s="148"/>
      <c r="H596" s="148"/>
      <c r="AF596" s="4"/>
      <c r="AG596" s="4"/>
    </row>
    <row r="597" spans="5:33" ht="12.75">
      <c r="E597" s="148"/>
      <c r="F597" s="148"/>
      <c r="G597" s="148"/>
      <c r="H597" s="148"/>
      <c r="AF597" s="4"/>
      <c r="AG597" s="4"/>
    </row>
    <row r="598" spans="5:33" ht="12.75">
      <c r="E598" s="148"/>
      <c r="F598" s="148"/>
      <c r="G598" s="148"/>
      <c r="H598" s="148"/>
      <c r="AF598" s="4"/>
      <c r="AG598" s="4"/>
    </row>
    <row r="599" spans="5:33" ht="12.75">
      <c r="E599" s="148"/>
      <c r="F599" s="148"/>
      <c r="G599" s="148"/>
      <c r="H599" s="148"/>
      <c r="AF599" s="4"/>
      <c r="AG599" s="4"/>
    </row>
    <row r="600" spans="5:33" ht="12.75">
      <c r="E600" s="148"/>
      <c r="F600" s="148"/>
      <c r="G600" s="148"/>
      <c r="H600" s="148"/>
      <c r="AF600" s="4"/>
      <c r="AG600" s="4"/>
    </row>
    <row r="601" spans="5:33" ht="12.75">
      <c r="E601" s="148"/>
      <c r="F601" s="148"/>
      <c r="G601" s="148"/>
      <c r="H601" s="148"/>
      <c r="AF601" s="4"/>
      <c r="AG601" s="4"/>
    </row>
    <row r="602" spans="5:33" ht="12.75">
      <c r="E602" s="148"/>
      <c r="F602" s="148"/>
      <c r="G602" s="148"/>
      <c r="H602" s="148"/>
      <c r="AF602" s="4"/>
      <c r="AG602" s="4"/>
    </row>
    <row r="603" spans="5:33" ht="12.75">
      <c r="E603" s="148"/>
      <c r="F603" s="148"/>
      <c r="G603" s="148"/>
      <c r="H603" s="148"/>
      <c r="AF603" s="4"/>
      <c r="AG603" s="4"/>
    </row>
    <row r="604" spans="5:33" ht="12.75">
      <c r="E604" s="148"/>
      <c r="F604" s="148"/>
      <c r="G604" s="148"/>
      <c r="H604" s="148"/>
      <c r="AF604" s="4"/>
      <c r="AG604" s="4"/>
    </row>
    <row r="605" spans="5:33" ht="12.75">
      <c r="E605" s="148"/>
      <c r="F605" s="148"/>
      <c r="G605" s="148"/>
      <c r="H605" s="148"/>
      <c r="AF605" s="4"/>
      <c r="AG605" s="4"/>
    </row>
    <row r="606" spans="5:33" ht="12.75">
      <c r="E606" s="148"/>
      <c r="F606" s="148"/>
      <c r="G606" s="148"/>
      <c r="H606" s="148"/>
      <c r="AF606" s="4"/>
      <c r="AG606" s="4"/>
    </row>
    <row r="607" spans="5:33" ht="12.75">
      <c r="E607" s="148"/>
      <c r="F607" s="148"/>
      <c r="G607" s="148"/>
      <c r="H607" s="148"/>
      <c r="AF607" s="4"/>
      <c r="AG607" s="4"/>
    </row>
    <row r="608" spans="5:33" ht="12.75">
      <c r="E608" s="148"/>
      <c r="F608" s="148"/>
      <c r="G608" s="148"/>
      <c r="H608" s="148"/>
      <c r="AF608" s="4"/>
      <c r="AG608" s="4"/>
    </row>
    <row r="609" spans="5:33" ht="12.75">
      <c r="E609" s="148"/>
      <c r="F609" s="148"/>
      <c r="G609" s="148"/>
      <c r="H609" s="148"/>
      <c r="AF609" s="4"/>
      <c r="AG609" s="4"/>
    </row>
    <row r="610" spans="5:33" ht="12.75">
      <c r="E610" s="148"/>
      <c r="F610" s="148"/>
      <c r="G610" s="148"/>
      <c r="H610" s="148"/>
      <c r="AF610" s="4"/>
      <c r="AG610" s="4"/>
    </row>
    <row r="611" spans="5:33" ht="12.75">
      <c r="E611" s="148"/>
      <c r="F611" s="148"/>
      <c r="G611" s="148"/>
      <c r="H611" s="148"/>
      <c r="AF611" s="4"/>
      <c r="AG611" s="4"/>
    </row>
    <row r="612" spans="5:33" ht="12.75">
      <c r="E612" s="148"/>
      <c r="F612" s="148"/>
      <c r="G612" s="148"/>
      <c r="H612" s="148"/>
      <c r="AF612" s="4"/>
      <c r="AG612" s="4"/>
    </row>
    <row r="613" spans="5:33" ht="12.75">
      <c r="E613" s="148"/>
      <c r="F613" s="148"/>
      <c r="G613" s="148"/>
      <c r="H613" s="148"/>
      <c r="AF613" s="4"/>
      <c r="AG613" s="4"/>
    </row>
    <row r="614" spans="5:33" ht="12.75">
      <c r="E614" s="148"/>
      <c r="F614" s="148"/>
      <c r="G614" s="148"/>
      <c r="H614" s="148"/>
      <c r="AF614" s="4"/>
      <c r="AG614" s="4"/>
    </row>
    <row r="615" spans="5:33" ht="12.75">
      <c r="E615" s="148"/>
      <c r="F615" s="148"/>
      <c r="G615" s="148"/>
      <c r="H615" s="148"/>
      <c r="AF615" s="4"/>
      <c r="AG615" s="4"/>
    </row>
    <row r="616" spans="5:33" ht="12.75">
      <c r="E616" s="148"/>
      <c r="F616" s="148"/>
      <c r="G616" s="148"/>
      <c r="H616" s="148"/>
      <c r="AF616" s="4"/>
      <c r="AG616" s="4"/>
    </row>
    <row r="617" spans="5:33" ht="12.75">
      <c r="E617" s="148"/>
      <c r="F617" s="148"/>
      <c r="G617" s="148"/>
      <c r="H617" s="148"/>
      <c r="AF617" s="4"/>
      <c r="AG617" s="4"/>
    </row>
    <row r="618" spans="5:33" ht="12.75">
      <c r="E618" s="148"/>
      <c r="F618" s="148"/>
      <c r="G618" s="148"/>
      <c r="H618" s="148"/>
      <c r="AF618" s="4"/>
      <c r="AG618" s="4"/>
    </row>
    <row r="619" spans="5:33" ht="12.75">
      <c r="E619" s="148"/>
      <c r="F619" s="148"/>
      <c r="G619" s="148"/>
      <c r="H619" s="148"/>
      <c r="AF619" s="4"/>
      <c r="AG619" s="4"/>
    </row>
    <row r="620" spans="5:33" ht="12.75">
      <c r="E620" s="148"/>
      <c r="F620" s="148"/>
      <c r="G620" s="148"/>
      <c r="H620" s="148"/>
      <c r="AF620" s="4"/>
      <c r="AG620" s="4"/>
    </row>
    <row r="621" spans="5:33" ht="12.75">
      <c r="E621" s="148"/>
      <c r="F621" s="148"/>
      <c r="G621" s="148"/>
      <c r="H621" s="148"/>
      <c r="AF621" s="4"/>
      <c r="AG621" s="4"/>
    </row>
    <row r="622" spans="5:33" ht="12.75">
      <c r="E622" s="148"/>
      <c r="F622" s="148"/>
      <c r="G622" s="148"/>
      <c r="H622" s="148"/>
      <c r="AF622" s="4"/>
      <c r="AG622" s="4"/>
    </row>
    <row r="623" spans="5:33" ht="12.75">
      <c r="E623" s="148"/>
      <c r="F623" s="148"/>
      <c r="G623" s="148"/>
      <c r="H623" s="148"/>
      <c r="AF623" s="4"/>
      <c r="AG623" s="4"/>
    </row>
    <row r="624" spans="5:33" ht="12.75">
      <c r="E624" s="148"/>
      <c r="F624" s="148"/>
      <c r="G624" s="148"/>
      <c r="H624" s="148"/>
      <c r="AF624" s="4"/>
      <c r="AG624" s="4"/>
    </row>
    <row r="625" spans="5:33" ht="12.75">
      <c r="E625" s="148"/>
      <c r="F625" s="148"/>
      <c r="G625" s="148"/>
      <c r="H625" s="148"/>
      <c r="AF625" s="4"/>
      <c r="AG625" s="4"/>
    </row>
    <row r="626" spans="5:33" ht="12.75">
      <c r="E626" s="148"/>
      <c r="F626" s="148"/>
      <c r="G626" s="148"/>
      <c r="H626" s="148"/>
      <c r="AF626" s="4"/>
      <c r="AG626" s="4"/>
    </row>
    <row r="627" spans="5:33" ht="12.75">
      <c r="E627" s="148"/>
      <c r="F627" s="148"/>
      <c r="G627" s="148"/>
      <c r="H627" s="148"/>
      <c r="AF627" s="4"/>
      <c r="AG627" s="4"/>
    </row>
    <row r="628" spans="5:33" ht="12.75">
      <c r="E628" s="148"/>
      <c r="F628" s="148"/>
      <c r="G628" s="148"/>
      <c r="H628" s="148"/>
      <c r="AF628" s="4"/>
      <c r="AG628" s="4"/>
    </row>
    <row r="629" spans="5:33" ht="12.75">
      <c r="E629" s="148"/>
      <c r="F629" s="148"/>
      <c r="G629" s="148"/>
      <c r="H629" s="148"/>
      <c r="AF629" s="4"/>
      <c r="AG629" s="4"/>
    </row>
    <row r="630" spans="5:33" ht="12.75">
      <c r="E630" s="148"/>
      <c r="F630" s="148"/>
      <c r="G630" s="148"/>
      <c r="H630" s="148"/>
      <c r="AF630" s="4"/>
      <c r="AG630" s="4"/>
    </row>
    <row r="631" spans="5:33" ht="12.75">
      <c r="E631" s="148"/>
      <c r="F631" s="148"/>
      <c r="G631" s="148"/>
      <c r="H631" s="148"/>
      <c r="AF631" s="4"/>
      <c r="AG631" s="4"/>
    </row>
    <row r="632" spans="5:33" ht="12.75">
      <c r="E632" s="148"/>
      <c r="F632" s="148"/>
      <c r="G632" s="148"/>
      <c r="H632" s="148"/>
      <c r="AF632" s="4"/>
      <c r="AG632" s="4"/>
    </row>
    <row r="633" spans="5:33" ht="12.75">
      <c r="E633" s="148"/>
      <c r="F633" s="148"/>
      <c r="G633" s="148"/>
      <c r="H633" s="148"/>
      <c r="AF633" s="4"/>
      <c r="AG633" s="4"/>
    </row>
    <row r="634" spans="5:33" ht="12.75">
      <c r="E634" s="148"/>
      <c r="F634" s="148"/>
      <c r="G634" s="148"/>
      <c r="H634" s="148"/>
      <c r="AF634" s="4"/>
      <c r="AG634" s="4"/>
    </row>
    <row r="635" spans="5:33" ht="12.75">
      <c r="E635" s="148"/>
      <c r="F635" s="148"/>
      <c r="G635" s="148"/>
      <c r="H635" s="148"/>
      <c r="AF635" s="4"/>
      <c r="AG635" s="4"/>
    </row>
    <row r="636" spans="5:33" ht="12.75">
      <c r="E636" s="148"/>
      <c r="F636" s="148"/>
      <c r="G636" s="148"/>
      <c r="H636" s="148"/>
      <c r="AF636" s="4"/>
      <c r="AG636" s="4"/>
    </row>
    <row r="637" spans="5:33" ht="12.75">
      <c r="E637" s="148"/>
      <c r="F637" s="148"/>
      <c r="G637" s="148"/>
      <c r="H637" s="148"/>
      <c r="AF637" s="4"/>
      <c r="AG637" s="4"/>
    </row>
    <row r="638" spans="5:33" ht="12.75">
      <c r="E638" s="148"/>
      <c r="F638" s="148"/>
      <c r="G638" s="148"/>
      <c r="H638" s="148"/>
      <c r="AF638" s="4"/>
      <c r="AG638" s="4"/>
    </row>
    <row r="639" spans="5:33" ht="12.75">
      <c r="E639" s="148"/>
      <c r="F639" s="148"/>
      <c r="G639" s="148"/>
      <c r="H639" s="148"/>
      <c r="AF639" s="4"/>
      <c r="AG639" s="4"/>
    </row>
    <row r="640" spans="5:33" ht="12.75">
      <c r="E640" s="148"/>
      <c r="F640" s="148"/>
      <c r="G640" s="148"/>
      <c r="H640" s="148"/>
      <c r="AF640" s="4"/>
      <c r="AG640" s="4"/>
    </row>
    <row r="641" spans="5:33" ht="12.75">
      <c r="E641" s="148"/>
      <c r="F641" s="148"/>
      <c r="G641" s="148"/>
      <c r="H641" s="148"/>
      <c r="AF641" s="4"/>
      <c r="AG641" s="4"/>
    </row>
    <row r="642" spans="5:33" ht="12.75">
      <c r="E642" s="148"/>
      <c r="F642" s="148"/>
      <c r="G642" s="148"/>
      <c r="H642" s="148"/>
      <c r="AF642" s="4"/>
      <c r="AG642" s="4"/>
    </row>
    <row r="643" spans="5:33" ht="12.75">
      <c r="E643" s="148"/>
      <c r="F643" s="148"/>
      <c r="G643" s="148"/>
      <c r="H643" s="148"/>
      <c r="AF643" s="4"/>
      <c r="AG643" s="4"/>
    </row>
    <row r="644" spans="5:33" ht="12.75">
      <c r="E644" s="148"/>
      <c r="F644" s="148"/>
      <c r="G644" s="148"/>
      <c r="H644" s="148"/>
      <c r="AF644" s="4"/>
      <c r="AG644" s="4"/>
    </row>
    <row r="645" spans="5:33" ht="12.75">
      <c r="E645" s="148"/>
      <c r="F645" s="148"/>
      <c r="G645" s="148"/>
      <c r="H645" s="148"/>
      <c r="AF645" s="4"/>
      <c r="AG645" s="4"/>
    </row>
    <row r="646" spans="5:33" ht="12.75">
      <c r="E646" s="148"/>
      <c r="F646" s="148"/>
      <c r="G646" s="148"/>
      <c r="H646" s="148"/>
      <c r="AF646" s="4"/>
      <c r="AG646" s="4"/>
    </row>
    <row r="647" spans="5:33" ht="12.75">
      <c r="E647" s="148"/>
      <c r="F647" s="148"/>
      <c r="G647" s="148"/>
      <c r="H647" s="148"/>
      <c r="AF647" s="4"/>
      <c r="AG647" s="4"/>
    </row>
    <row r="648" spans="5:33" ht="12.75">
      <c r="E648" s="148"/>
      <c r="F648" s="148"/>
      <c r="G648" s="148"/>
      <c r="H648" s="148"/>
      <c r="AF648" s="4"/>
      <c r="AG648" s="4"/>
    </row>
    <row r="649" spans="5:33" ht="12.75">
      <c r="E649" s="148"/>
      <c r="F649" s="148"/>
      <c r="G649" s="148"/>
      <c r="H649" s="148"/>
      <c r="AF649" s="4"/>
      <c r="AG649" s="4"/>
    </row>
    <row r="650" spans="5:33" ht="12.75">
      <c r="E650" s="148"/>
      <c r="F650" s="148"/>
      <c r="G650" s="148"/>
      <c r="H650" s="148"/>
      <c r="AF650" s="4"/>
      <c r="AG650" s="4"/>
    </row>
    <row r="651" spans="5:33" ht="12.75">
      <c r="E651" s="148"/>
      <c r="F651" s="148"/>
      <c r="G651" s="148"/>
      <c r="H651" s="148"/>
      <c r="AF651" s="4"/>
      <c r="AG651" s="4"/>
    </row>
    <row r="652" spans="5:33" ht="12.75">
      <c r="E652" s="148"/>
      <c r="F652" s="148"/>
      <c r="G652" s="148"/>
      <c r="H652" s="148"/>
      <c r="AF652" s="4"/>
      <c r="AG652" s="4"/>
    </row>
    <row r="653" spans="5:33" ht="12.75">
      <c r="E653" s="148"/>
      <c r="F653" s="148"/>
      <c r="G653" s="148"/>
      <c r="H653" s="148"/>
      <c r="AF653" s="4"/>
      <c r="AG653" s="4"/>
    </row>
    <row r="654" spans="5:33" ht="12.75">
      <c r="E654" s="148"/>
      <c r="F654" s="148"/>
      <c r="G654" s="148"/>
      <c r="H654" s="148"/>
      <c r="AF654" s="4"/>
      <c r="AG654" s="4"/>
    </row>
    <row r="655" spans="5:33" ht="12.75">
      <c r="E655" s="148"/>
      <c r="F655" s="148"/>
      <c r="G655" s="148"/>
      <c r="H655" s="148"/>
      <c r="AF655" s="4"/>
      <c r="AG655" s="4"/>
    </row>
    <row r="656" spans="5:33" ht="12.75">
      <c r="E656" s="148"/>
      <c r="F656" s="148"/>
      <c r="G656" s="148"/>
      <c r="H656" s="148"/>
      <c r="AF656" s="4"/>
      <c r="AG656" s="4"/>
    </row>
    <row r="657" spans="5:33" ht="12.75">
      <c r="E657" s="148"/>
      <c r="F657" s="148"/>
      <c r="G657" s="148"/>
      <c r="H657" s="148"/>
      <c r="AF657" s="4"/>
      <c r="AG657" s="4"/>
    </row>
    <row r="658" spans="5:33" ht="12.75">
      <c r="E658" s="148"/>
      <c r="F658" s="148"/>
      <c r="G658" s="148"/>
      <c r="H658" s="148"/>
      <c r="AF658" s="4"/>
      <c r="AG658" s="4"/>
    </row>
    <row r="659" spans="5:33" ht="12.75">
      <c r="E659" s="148"/>
      <c r="F659" s="148"/>
      <c r="G659" s="148"/>
      <c r="H659" s="148"/>
      <c r="AF659" s="4"/>
      <c r="AG659" s="4"/>
    </row>
    <row r="660" spans="5:33" ht="12.75">
      <c r="E660" s="148"/>
      <c r="F660" s="148"/>
      <c r="G660" s="148"/>
      <c r="H660" s="148"/>
      <c r="AF660" s="4"/>
      <c r="AG660" s="4"/>
    </row>
    <row r="661" spans="5:33" ht="12.75">
      <c r="E661" s="148"/>
      <c r="F661" s="148"/>
      <c r="G661" s="148"/>
      <c r="H661" s="148"/>
      <c r="AF661" s="4"/>
      <c r="AG661" s="4"/>
    </row>
    <row r="662" spans="5:33" ht="12.75">
      <c r="E662" s="148"/>
      <c r="F662" s="148"/>
      <c r="G662" s="148"/>
      <c r="H662" s="148"/>
      <c r="AF662" s="4"/>
      <c r="AG662" s="4"/>
    </row>
    <row r="663" spans="5:33" ht="12.75">
      <c r="E663" s="148"/>
      <c r="F663" s="148"/>
      <c r="G663" s="148"/>
      <c r="H663" s="148"/>
      <c r="AF663" s="4"/>
      <c r="AG663" s="4"/>
    </row>
    <row r="664" spans="5:33" ht="12.75">
      <c r="E664" s="148"/>
      <c r="F664" s="148"/>
      <c r="G664" s="148"/>
      <c r="H664" s="148"/>
      <c r="AF664" s="4"/>
      <c r="AG664" s="4"/>
    </row>
    <row r="665" spans="5:33" ht="12.75">
      <c r="E665" s="148"/>
      <c r="F665" s="148"/>
      <c r="G665" s="148"/>
      <c r="H665" s="148"/>
      <c r="AF665" s="4"/>
      <c r="AG665" s="4"/>
    </row>
    <row r="666" spans="5:33" ht="12.75">
      <c r="E666" s="148"/>
      <c r="F666" s="148"/>
      <c r="G666" s="148"/>
      <c r="H666" s="148"/>
      <c r="AF666" s="4"/>
      <c r="AG666" s="4"/>
    </row>
    <row r="667" spans="5:33" ht="12.75">
      <c r="E667" s="148"/>
      <c r="F667" s="148"/>
      <c r="G667" s="148"/>
      <c r="H667" s="148"/>
      <c r="AF667" s="4"/>
      <c r="AG667" s="4"/>
    </row>
    <row r="668" spans="5:33" ht="12.75">
      <c r="E668" s="148"/>
      <c r="F668" s="148"/>
      <c r="G668" s="148"/>
      <c r="H668" s="148"/>
      <c r="AF668" s="4"/>
      <c r="AG668" s="4"/>
    </row>
    <row r="669" spans="5:33" ht="12.75">
      <c r="E669" s="148"/>
      <c r="F669" s="148"/>
      <c r="G669" s="148"/>
      <c r="H669" s="148"/>
      <c r="AF669" s="4"/>
      <c r="AG669" s="4"/>
    </row>
    <row r="670" spans="5:33" ht="12.75">
      <c r="E670" s="148"/>
      <c r="F670" s="148"/>
      <c r="G670" s="148"/>
      <c r="H670" s="148"/>
      <c r="AF670" s="4"/>
      <c r="AG670" s="4"/>
    </row>
    <row r="671" spans="5:33" ht="12.75">
      <c r="E671" s="148"/>
      <c r="F671" s="148"/>
      <c r="G671" s="148"/>
      <c r="H671" s="148"/>
      <c r="AF671" s="4"/>
      <c r="AG671" s="4"/>
    </row>
    <row r="672" spans="5:33" ht="12.75">
      <c r="E672" s="148"/>
      <c r="F672" s="148"/>
      <c r="G672" s="148"/>
      <c r="H672" s="148"/>
      <c r="AF672" s="4"/>
      <c r="AG672" s="4"/>
    </row>
    <row r="673" spans="5:33" ht="12.75">
      <c r="E673" s="148"/>
      <c r="F673" s="148"/>
      <c r="G673" s="148"/>
      <c r="H673" s="148"/>
      <c r="AF673" s="4"/>
      <c r="AG673" s="4"/>
    </row>
    <row r="674" spans="5:33" ht="12.75">
      <c r="E674" s="148"/>
      <c r="F674" s="148"/>
      <c r="G674" s="148"/>
      <c r="H674" s="148"/>
      <c r="AF674" s="4"/>
      <c r="AG674" s="4"/>
    </row>
    <row r="675" spans="5:33" ht="12.75">
      <c r="E675" s="148"/>
      <c r="F675" s="148"/>
      <c r="G675" s="148"/>
      <c r="H675" s="148"/>
      <c r="AF675" s="4"/>
      <c r="AG675" s="4"/>
    </row>
    <row r="676" spans="5:33" ht="12.75">
      <c r="E676" s="148"/>
      <c r="F676" s="148"/>
      <c r="G676" s="148"/>
      <c r="H676" s="148"/>
      <c r="AF676" s="4"/>
      <c r="AG676" s="4"/>
    </row>
    <row r="677" spans="5:33" ht="12.75">
      <c r="E677" s="148"/>
      <c r="F677" s="148"/>
      <c r="G677" s="148"/>
      <c r="H677" s="148"/>
      <c r="AF677" s="4"/>
      <c r="AG677" s="4"/>
    </row>
    <row r="678" spans="5:33" ht="12.75">
      <c r="E678" s="148"/>
      <c r="F678" s="148"/>
      <c r="G678" s="148"/>
      <c r="H678" s="148"/>
      <c r="AF678" s="4"/>
      <c r="AG678" s="4"/>
    </row>
    <row r="679" spans="5:33" ht="12.75">
      <c r="E679" s="148"/>
      <c r="F679" s="148"/>
      <c r="G679" s="148"/>
      <c r="H679" s="148"/>
      <c r="AF679" s="4"/>
      <c r="AG679" s="4"/>
    </row>
    <row r="680" spans="5:33" ht="12.75">
      <c r="E680" s="148"/>
      <c r="F680" s="148"/>
      <c r="G680" s="148"/>
      <c r="H680" s="148"/>
      <c r="AF680" s="4"/>
      <c r="AG680" s="4"/>
    </row>
    <row r="681" spans="5:33" ht="12.75">
      <c r="E681" s="148"/>
      <c r="F681" s="148"/>
      <c r="G681" s="148"/>
      <c r="H681" s="148"/>
      <c r="AF681" s="4"/>
      <c r="AG681" s="4"/>
    </row>
    <row r="682" spans="5:33" ht="12.75">
      <c r="E682" s="148"/>
      <c r="F682" s="148"/>
      <c r="G682" s="148"/>
      <c r="H682" s="148"/>
      <c r="AF682" s="4"/>
      <c r="AG682" s="4"/>
    </row>
    <row r="683" spans="5:33" ht="12.75">
      <c r="E683" s="148"/>
      <c r="F683" s="148"/>
      <c r="G683" s="148"/>
      <c r="H683" s="148"/>
      <c r="AF683" s="4"/>
      <c r="AG683" s="4"/>
    </row>
    <row r="684" spans="5:33" ht="12.75">
      <c r="E684" s="148"/>
      <c r="F684" s="148"/>
      <c r="G684" s="148"/>
      <c r="H684" s="148"/>
      <c r="AF684" s="4"/>
      <c r="AG684" s="4"/>
    </row>
    <row r="685" spans="5:33" ht="12.75">
      <c r="E685" s="148"/>
      <c r="F685" s="148"/>
      <c r="G685" s="148"/>
      <c r="H685" s="148"/>
      <c r="AF685" s="4"/>
      <c r="AG685" s="4"/>
    </row>
    <row r="686" spans="5:33" ht="12.75">
      <c r="E686" s="148"/>
      <c r="F686" s="148"/>
      <c r="G686" s="148"/>
      <c r="H686" s="148"/>
      <c r="AF686" s="4"/>
      <c r="AG686" s="4"/>
    </row>
    <row r="687" spans="5:33" ht="12.75">
      <c r="E687" s="148"/>
      <c r="F687" s="148"/>
      <c r="G687" s="148"/>
      <c r="H687" s="148"/>
      <c r="AF687" s="4"/>
      <c r="AG687" s="4"/>
    </row>
    <row r="688" spans="5:33" ht="12.75">
      <c r="E688" s="148"/>
      <c r="F688" s="148"/>
      <c r="G688" s="148"/>
      <c r="H688" s="148"/>
      <c r="AF688" s="4"/>
      <c r="AG688" s="4"/>
    </row>
    <row r="689" spans="5:33" ht="12.75">
      <c r="E689" s="148"/>
      <c r="F689" s="148"/>
      <c r="G689" s="148"/>
      <c r="H689" s="148"/>
      <c r="AF689" s="4"/>
      <c r="AG689" s="4"/>
    </row>
    <row r="690" spans="5:33" ht="12.75">
      <c r="E690" s="148"/>
      <c r="F690" s="148"/>
      <c r="G690" s="148"/>
      <c r="H690" s="148"/>
      <c r="AF690" s="4"/>
      <c r="AG690" s="4"/>
    </row>
    <row r="691" spans="5:33" ht="12.75">
      <c r="E691" s="148"/>
      <c r="F691" s="148"/>
      <c r="G691" s="148"/>
      <c r="H691" s="148"/>
      <c r="AF691" s="4"/>
      <c r="AG691" s="4"/>
    </row>
    <row r="692" spans="5:33" ht="12.75">
      <c r="E692" s="148"/>
      <c r="F692" s="148"/>
      <c r="G692" s="148"/>
      <c r="H692" s="148"/>
      <c r="AF692" s="4"/>
      <c r="AG692" s="4"/>
    </row>
    <row r="693" spans="5:33" ht="12.75">
      <c r="E693" s="148"/>
      <c r="F693" s="148"/>
      <c r="G693" s="148"/>
      <c r="H693" s="148"/>
      <c r="AF693" s="4"/>
      <c r="AG693" s="4"/>
    </row>
    <row r="694" spans="5:33" ht="12.75">
      <c r="E694" s="148"/>
      <c r="F694" s="148"/>
      <c r="G694" s="148"/>
      <c r="H694" s="148"/>
      <c r="AF694" s="4"/>
      <c r="AG694" s="4"/>
    </row>
    <row r="695" spans="5:33" ht="12.75">
      <c r="E695" s="148"/>
      <c r="F695" s="148"/>
      <c r="G695" s="148"/>
      <c r="H695" s="148"/>
      <c r="AF695" s="4"/>
      <c r="AG695" s="4"/>
    </row>
    <row r="696" spans="5:33" ht="12.75">
      <c r="E696" s="148"/>
      <c r="F696" s="148"/>
      <c r="G696" s="148"/>
      <c r="H696" s="148"/>
      <c r="AF696" s="4"/>
      <c r="AG696" s="4"/>
    </row>
    <row r="697" spans="5:33" ht="12.75">
      <c r="E697" s="148"/>
      <c r="F697" s="148"/>
      <c r="G697" s="148"/>
      <c r="H697" s="148"/>
      <c r="AF697" s="4"/>
      <c r="AG697" s="4"/>
    </row>
    <row r="698" spans="5:33" ht="12.75">
      <c r="E698" s="148"/>
      <c r="F698" s="148"/>
      <c r="G698" s="148"/>
      <c r="H698" s="148"/>
      <c r="AF698" s="4"/>
      <c r="AG698" s="4"/>
    </row>
    <row r="699" spans="5:33" ht="12.75">
      <c r="E699" s="148"/>
      <c r="F699" s="148"/>
      <c r="G699" s="148"/>
      <c r="H699" s="148"/>
      <c r="AF699" s="4"/>
      <c r="AG699" s="4"/>
    </row>
    <row r="700" spans="5:33" ht="12.75">
      <c r="E700" s="148"/>
      <c r="F700" s="148"/>
      <c r="G700" s="148"/>
      <c r="H700" s="148"/>
      <c r="AF700" s="4"/>
      <c r="AG700" s="4"/>
    </row>
    <row r="701" spans="5:33" ht="12.75">
      <c r="E701" s="148"/>
      <c r="F701" s="148"/>
      <c r="G701" s="148"/>
      <c r="H701" s="148"/>
      <c r="AF701" s="4"/>
      <c r="AG701" s="4"/>
    </row>
    <row r="702" spans="5:33" ht="12.75">
      <c r="E702" s="148"/>
      <c r="F702" s="148"/>
      <c r="G702" s="148"/>
      <c r="H702" s="148"/>
      <c r="AF702" s="4"/>
      <c r="AG702" s="4"/>
    </row>
    <row r="703" spans="5:33" ht="12.75">
      <c r="E703" s="148"/>
      <c r="F703" s="148"/>
      <c r="G703" s="148"/>
      <c r="H703" s="148"/>
      <c r="AF703" s="4"/>
      <c r="AG703" s="4"/>
    </row>
    <row r="704" spans="5:33" ht="12.75">
      <c r="E704" s="148"/>
      <c r="F704" s="148"/>
      <c r="G704" s="148"/>
      <c r="H704" s="148"/>
      <c r="AF704" s="4"/>
      <c r="AG704" s="4"/>
    </row>
    <row r="705" spans="5:33" ht="12.75">
      <c r="E705" s="148"/>
      <c r="F705" s="148"/>
      <c r="G705" s="148"/>
      <c r="H705" s="148"/>
      <c r="AF705" s="4"/>
      <c r="AG705" s="4"/>
    </row>
    <row r="706" spans="5:33" ht="12.75">
      <c r="E706" s="148"/>
      <c r="F706" s="148"/>
      <c r="G706" s="148"/>
      <c r="H706" s="148"/>
      <c r="AF706" s="4"/>
      <c r="AG706" s="4"/>
    </row>
    <row r="707" spans="5:33" ht="12.75">
      <c r="E707" s="148"/>
      <c r="F707" s="148"/>
      <c r="G707" s="148"/>
      <c r="H707" s="148"/>
      <c r="AF707" s="4"/>
      <c r="AG707" s="4"/>
    </row>
    <row r="708" spans="5:33" ht="12.75">
      <c r="E708" s="148"/>
      <c r="F708" s="148"/>
      <c r="G708" s="148"/>
      <c r="H708" s="148"/>
      <c r="AF708" s="4"/>
      <c r="AG708" s="4"/>
    </row>
    <row r="709" spans="5:33" ht="12.75">
      <c r="E709" s="148"/>
      <c r="F709" s="148"/>
      <c r="G709" s="148"/>
      <c r="H709" s="148"/>
      <c r="AF709" s="4"/>
      <c r="AG709" s="4"/>
    </row>
    <row r="710" spans="5:33" ht="12.75">
      <c r="E710" s="148"/>
      <c r="F710" s="148"/>
      <c r="G710" s="148"/>
      <c r="H710" s="148"/>
      <c r="AF710" s="4"/>
      <c r="AG710" s="4"/>
    </row>
    <row r="711" spans="5:33" ht="12.75">
      <c r="E711" s="148"/>
      <c r="F711" s="148"/>
      <c r="G711" s="148"/>
      <c r="H711" s="148"/>
      <c r="AF711" s="4"/>
      <c r="AG711" s="4"/>
    </row>
    <row r="712" spans="5:33" ht="12.75">
      <c r="E712" s="148"/>
      <c r="F712" s="148"/>
      <c r="G712" s="148"/>
      <c r="H712" s="148"/>
      <c r="AF712" s="4"/>
      <c r="AG712" s="4"/>
    </row>
    <row r="713" spans="5:33" ht="12.75">
      <c r="E713" s="148"/>
      <c r="F713" s="148"/>
      <c r="G713" s="148"/>
      <c r="H713" s="148"/>
      <c r="AF713" s="4"/>
      <c r="AG713" s="4"/>
    </row>
    <row r="714" spans="5:33" ht="12.75">
      <c r="E714" s="148"/>
      <c r="F714" s="148"/>
      <c r="G714" s="148"/>
      <c r="H714" s="148"/>
      <c r="AF714" s="4"/>
      <c r="AG714" s="4"/>
    </row>
    <row r="715" spans="5:33" ht="12.75">
      <c r="E715" s="148"/>
      <c r="F715" s="148"/>
      <c r="G715" s="148"/>
      <c r="H715" s="148"/>
      <c r="AF715" s="4"/>
      <c r="AG715" s="4"/>
    </row>
    <row r="716" spans="5:33" ht="12.75">
      <c r="E716" s="148"/>
      <c r="F716" s="148"/>
      <c r="G716" s="148"/>
      <c r="H716" s="148"/>
      <c r="AF716" s="4"/>
      <c r="AG716" s="4"/>
    </row>
    <row r="717" spans="5:33" ht="12.75">
      <c r="E717" s="148"/>
      <c r="F717" s="148"/>
      <c r="G717" s="148"/>
      <c r="H717" s="148"/>
      <c r="AF717" s="4"/>
      <c r="AG717" s="4"/>
    </row>
    <row r="718" spans="5:33" ht="12.75">
      <c r="E718" s="148"/>
      <c r="F718" s="148"/>
      <c r="G718" s="148"/>
      <c r="H718" s="148"/>
      <c r="AF718" s="4"/>
      <c r="AG718" s="4"/>
    </row>
    <row r="719" spans="5:33" ht="12.75">
      <c r="E719" s="148"/>
      <c r="F719" s="148"/>
      <c r="G719" s="148"/>
      <c r="H719" s="148"/>
      <c r="AF719" s="4"/>
      <c r="AG719" s="4"/>
    </row>
    <row r="720" spans="5:33" ht="12.75">
      <c r="E720" s="148"/>
      <c r="F720" s="148"/>
      <c r="G720" s="148"/>
      <c r="H720" s="148"/>
      <c r="AF720" s="4"/>
      <c r="AG720" s="4"/>
    </row>
    <row r="721" spans="5:33" ht="12.75">
      <c r="E721" s="148"/>
      <c r="F721" s="148"/>
      <c r="G721" s="148"/>
      <c r="H721" s="148"/>
      <c r="AF721" s="4"/>
      <c r="AG721" s="4"/>
    </row>
    <row r="722" spans="5:33" ht="12.75">
      <c r="E722" s="148"/>
      <c r="F722" s="148"/>
      <c r="G722" s="148"/>
      <c r="H722" s="148"/>
      <c r="AF722" s="4"/>
      <c r="AG722" s="4"/>
    </row>
    <row r="723" spans="5:33" ht="12.75">
      <c r="E723" s="148"/>
      <c r="F723" s="148"/>
      <c r="G723" s="148"/>
      <c r="H723" s="148"/>
      <c r="AF723" s="4"/>
      <c r="AG723" s="4"/>
    </row>
    <row r="724" spans="5:33" ht="12.75">
      <c r="E724" s="148"/>
      <c r="F724" s="148"/>
      <c r="G724" s="148"/>
      <c r="H724" s="148"/>
      <c r="AF724" s="4"/>
      <c r="AG724" s="4"/>
    </row>
    <row r="725" spans="5:33" ht="12.75">
      <c r="E725" s="148"/>
      <c r="F725" s="148"/>
      <c r="G725" s="148"/>
      <c r="H725" s="148"/>
      <c r="AF725" s="4"/>
      <c r="AG725" s="4"/>
    </row>
    <row r="726" spans="5:33" ht="12.75">
      <c r="E726" s="148"/>
      <c r="F726" s="148"/>
      <c r="G726" s="148"/>
      <c r="H726" s="148"/>
      <c r="AF726" s="4"/>
      <c r="AG726" s="4"/>
    </row>
    <row r="727" spans="5:33" ht="12.75">
      <c r="E727" s="148"/>
      <c r="F727" s="148"/>
      <c r="G727" s="148"/>
      <c r="H727" s="148"/>
      <c r="AF727" s="4"/>
      <c r="AG727" s="4"/>
    </row>
    <row r="728" spans="5:33" ht="12.75">
      <c r="E728" s="148"/>
      <c r="F728" s="148"/>
      <c r="G728" s="148"/>
      <c r="H728" s="148"/>
      <c r="AF728" s="4"/>
      <c r="AG728" s="4"/>
    </row>
    <row r="729" spans="5:33" ht="12.75">
      <c r="E729" s="148"/>
      <c r="F729" s="148"/>
      <c r="G729" s="148"/>
      <c r="H729" s="148"/>
      <c r="AF729" s="4"/>
      <c r="AG729" s="4"/>
    </row>
    <row r="730" spans="5:33" ht="12.75">
      <c r="E730" s="148"/>
      <c r="F730" s="148"/>
      <c r="G730" s="148"/>
      <c r="H730" s="148"/>
      <c r="AF730" s="4"/>
      <c r="AG730" s="4"/>
    </row>
    <row r="731" spans="5:33" ht="12.75">
      <c r="E731" s="148"/>
      <c r="F731" s="148"/>
      <c r="G731" s="148"/>
      <c r="H731" s="148"/>
      <c r="AF731" s="4"/>
      <c r="AG731" s="4"/>
    </row>
    <row r="732" spans="5:33" ht="12.75">
      <c r="E732" s="148"/>
      <c r="F732" s="148"/>
      <c r="G732" s="148"/>
      <c r="H732" s="148"/>
      <c r="AF732" s="4"/>
      <c r="AG732" s="4"/>
    </row>
    <row r="733" spans="5:33" ht="12.75">
      <c r="E733" s="148"/>
      <c r="F733" s="148"/>
      <c r="G733" s="148"/>
      <c r="H733" s="148"/>
      <c r="AF733" s="4"/>
      <c r="AG733" s="4"/>
    </row>
    <row r="734" spans="5:33" ht="12.75">
      <c r="E734" s="148"/>
      <c r="F734" s="148"/>
      <c r="G734" s="148"/>
      <c r="H734" s="148"/>
      <c r="AF734" s="4"/>
      <c r="AG734" s="4"/>
    </row>
    <row r="735" spans="5:33" ht="12.75">
      <c r="E735" s="148"/>
      <c r="F735" s="148"/>
      <c r="G735" s="148"/>
      <c r="H735" s="148"/>
      <c r="AF735" s="4"/>
      <c r="AG735" s="4"/>
    </row>
    <row r="736" spans="5:33" ht="12.75">
      <c r="E736" s="148"/>
      <c r="F736" s="148"/>
      <c r="G736" s="148"/>
      <c r="H736" s="148"/>
      <c r="AF736" s="4"/>
      <c r="AG736" s="4"/>
    </row>
    <row r="737" spans="5:33" ht="12.75">
      <c r="E737" s="148"/>
      <c r="F737" s="148"/>
      <c r="G737" s="148"/>
      <c r="H737" s="148"/>
      <c r="AF737" s="4"/>
      <c r="AG737" s="4"/>
    </row>
    <row r="738" spans="5:33" ht="12.75">
      <c r="E738" s="148"/>
      <c r="F738" s="148"/>
      <c r="G738" s="148"/>
      <c r="H738" s="148"/>
      <c r="AF738" s="4"/>
      <c r="AG738" s="4"/>
    </row>
    <row r="739" spans="5:33" ht="12.75">
      <c r="E739" s="148"/>
      <c r="F739" s="148"/>
      <c r="G739" s="148"/>
      <c r="H739" s="148"/>
      <c r="AF739" s="4"/>
      <c r="AG739" s="4"/>
    </row>
    <row r="740" spans="5:33" ht="12.75">
      <c r="E740" s="148"/>
      <c r="F740" s="148"/>
      <c r="G740" s="148"/>
      <c r="H740" s="148"/>
      <c r="AF740" s="4"/>
      <c r="AG740" s="4"/>
    </row>
    <row r="741" spans="5:33" ht="12.75">
      <c r="E741" s="148"/>
      <c r="F741" s="148"/>
      <c r="G741" s="148"/>
      <c r="H741" s="148"/>
      <c r="AF741" s="4"/>
      <c r="AG741" s="4"/>
    </row>
    <row r="742" spans="5:33" ht="12.75">
      <c r="E742" s="148"/>
      <c r="F742" s="148"/>
      <c r="G742" s="148"/>
      <c r="H742" s="148"/>
      <c r="AF742" s="4"/>
      <c r="AG742" s="4"/>
    </row>
    <row r="743" spans="5:33" ht="12.75">
      <c r="E743" s="148"/>
      <c r="F743" s="148"/>
      <c r="G743" s="148"/>
      <c r="H743" s="148"/>
      <c r="AF743" s="4"/>
      <c r="AG743" s="4"/>
    </row>
    <row r="744" spans="5:33" ht="12.75">
      <c r="E744" s="148"/>
      <c r="F744" s="148"/>
      <c r="G744" s="148"/>
      <c r="H744" s="148"/>
      <c r="AF744" s="4"/>
      <c r="AG744" s="4"/>
    </row>
    <row r="745" spans="5:33" ht="12.75">
      <c r="E745" s="148"/>
      <c r="F745" s="148"/>
      <c r="G745" s="148"/>
      <c r="H745" s="148"/>
      <c r="AF745" s="4"/>
      <c r="AG745" s="4"/>
    </row>
    <row r="746" spans="5:33" ht="12.75">
      <c r="E746" s="148"/>
      <c r="F746" s="148"/>
      <c r="G746" s="148"/>
      <c r="H746" s="148"/>
      <c r="AF746" s="4"/>
      <c r="AG746" s="4"/>
    </row>
    <row r="747" spans="5:33" ht="12.75">
      <c r="E747" s="148"/>
      <c r="F747" s="148"/>
      <c r="G747" s="148"/>
      <c r="H747" s="148"/>
      <c r="AF747" s="4"/>
      <c r="AG747" s="4"/>
    </row>
    <row r="748" spans="5:33" ht="12.75">
      <c r="E748" s="148"/>
      <c r="F748" s="148"/>
      <c r="G748" s="148"/>
      <c r="H748" s="148"/>
      <c r="AF748" s="4"/>
      <c r="AG748" s="4"/>
    </row>
    <row r="749" spans="5:33" ht="12.75">
      <c r="E749" s="148"/>
      <c r="F749" s="148"/>
      <c r="G749" s="148"/>
      <c r="H749" s="148"/>
      <c r="AF749" s="4"/>
      <c r="AG749" s="4"/>
    </row>
    <row r="750" spans="5:33" ht="12.75">
      <c r="E750" s="148"/>
      <c r="F750" s="148"/>
      <c r="G750" s="148"/>
      <c r="H750" s="148"/>
      <c r="AF750" s="4"/>
      <c r="AG750" s="4"/>
    </row>
    <row r="751" spans="5:33" ht="12.75">
      <c r="E751" s="148"/>
      <c r="F751" s="148"/>
      <c r="G751" s="148"/>
      <c r="H751" s="148"/>
      <c r="AF751" s="4"/>
      <c r="AG751" s="4"/>
    </row>
    <row r="752" spans="5:33" ht="12.75">
      <c r="E752" s="148"/>
      <c r="F752" s="148"/>
      <c r="G752" s="148"/>
      <c r="H752" s="148"/>
      <c r="AF752" s="4"/>
      <c r="AG752" s="4"/>
    </row>
    <row r="753" spans="5:33" ht="12.75">
      <c r="E753" s="148"/>
      <c r="F753" s="148"/>
      <c r="G753" s="148"/>
      <c r="H753" s="148"/>
      <c r="AF753" s="4"/>
      <c r="AG753" s="4"/>
    </row>
    <row r="754" spans="5:33" ht="12.75">
      <c r="E754" s="148"/>
      <c r="F754" s="148"/>
      <c r="G754" s="148"/>
      <c r="H754" s="148"/>
      <c r="AF754" s="4"/>
      <c r="AG754" s="4"/>
    </row>
    <row r="755" spans="5:33" ht="12.75">
      <c r="E755" s="148"/>
      <c r="F755" s="148"/>
      <c r="G755" s="148"/>
      <c r="H755" s="148"/>
      <c r="AF755" s="4"/>
      <c r="AG755" s="4"/>
    </row>
    <row r="756" spans="5:33" ht="12.75">
      <c r="E756" s="148"/>
      <c r="F756" s="148"/>
      <c r="G756" s="148"/>
      <c r="H756" s="148"/>
      <c r="AF756" s="4"/>
      <c r="AG756" s="4"/>
    </row>
    <row r="757" spans="5:33" ht="12.75">
      <c r="E757" s="148"/>
      <c r="F757" s="148"/>
      <c r="G757" s="148"/>
      <c r="H757" s="148"/>
      <c r="AF757" s="4"/>
      <c r="AG757" s="4"/>
    </row>
    <row r="758" spans="5:33" ht="12.75">
      <c r="E758" s="148"/>
      <c r="F758" s="148"/>
      <c r="G758" s="148"/>
      <c r="H758" s="148"/>
      <c r="AF758" s="4"/>
      <c r="AG758" s="4"/>
    </row>
    <row r="759" spans="5:33" ht="12.75">
      <c r="E759" s="148"/>
      <c r="F759" s="148"/>
      <c r="G759" s="148"/>
      <c r="H759" s="148"/>
      <c r="AF759" s="4"/>
      <c r="AG759" s="4"/>
    </row>
    <row r="760" spans="5:33" ht="12.75">
      <c r="E760" s="148"/>
      <c r="F760" s="148"/>
      <c r="G760" s="148"/>
      <c r="H760" s="148"/>
      <c r="AF760" s="4"/>
      <c r="AG760" s="4"/>
    </row>
    <row r="761" spans="5:33" ht="12.75">
      <c r="E761" s="148"/>
      <c r="F761" s="148"/>
      <c r="G761" s="148"/>
      <c r="H761" s="148"/>
      <c r="AF761" s="4"/>
      <c r="AG761" s="4"/>
    </row>
    <row r="762" spans="5:33" ht="12.75">
      <c r="E762" s="148"/>
      <c r="F762" s="148"/>
      <c r="G762" s="148"/>
      <c r="H762" s="148"/>
      <c r="AF762" s="4"/>
      <c r="AG762" s="4"/>
    </row>
    <row r="763" spans="5:33" ht="12.75">
      <c r="E763" s="148"/>
      <c r="F763" s="148"/>
      <c r="G763" s="148"/>
      <c r="H763" s="148"/>
      <c r="AF763" s="4"/>
      <c r="AG763" s="4"/>
    </row>
    <row r="764" spans="5:33" ht="12.75">
      <c r="E764" s="148"/>
      <c r="F764" s="148"/>
      <c r="G764" s="148"/>
      <c r="H764" s="148"/>
      <c r="AF764" s="4"/>
      <c r="AG764" s="4"/>
    </row>
    <row r="765" spans="5:33" ht="12.75">
      <c r="E765" s="148"/>
      <c r="F765" s="148"/>
      <c r="G765" s="148"/>
      <c r="H765" s="148"/>
      <c r="AF765" s="4"/>
      <c r="AG765" s="4"/>
    </row>
    <row r="766" spans="5:33" ht="12.75">
      <c r="E766" s="148"/>
      <c r="F766" s="148"/>
      <c r="G766" s="148"/>
      <c r="H766" s="148"/>
      <c r="AF766" s="4"/>
      <c r="AG766" s="4"/>
    </row>
    <row r="767" spans="5:33" ht="12.75">
      <c r="E767" s="148"/>
      <c r="F767" s="148"/>
      <c r="G767" s="148"/>
      <c r="H767" s="148"/>
      <c r="AF767" s="4"/>
      <c r="AG767" s="4"/>
    </row>
    <row r="768" spans="5:33" ht="12.75">
      <c r="E768" s="148"/>
      <c r="F768" s="148"/>
      <c r="G768" s="148"/>
      <c r="H768" s="148"/>
      <c r="AF768" s="4"/>
      <c r="AG768" s="4"/>
    </row>
    <row r="769" spans="5:33" ht="12.75">
      <c r="E769" s="148"/>
      <c r="F769" s="148"/>
      <c r="G769" s="148"/>
      <c r="H769" s="148"/>
      <c r="AF769" s="4"/>
      <c r="AG769" s="4"/>
    </row>
    <row r="770" spans="5:33" ht="12.75">
      <c r="E770" s="148"/>
      <c r="F770" s="148"/>
      <c r="G770" s="148"/>
      <c r="H770" s="148"/>
      <c r="AF770" s="4"/>
      <c r="AG770" s="4"/>
    </row>
    <row r="771" spans="5:33" ht="12.75">
      <c r="E771" s="148"/>
      <c r="F771" s="148"/>
      <c r="G771" s="148"/>
      <c r="H771" s="148"/>
      <c r="AF771" s="4"/>
      <c r="AG771" s="4"/>
    </row>
    <row r="772" spans="5:33" ht="12.75">
      <c r="E772" s="148"/>
      <c r="F772" s="148"/>
      <c r="G772" s="148"/>
      <c r="H772" s="148"/>
      <c r="AF772" s="4"/>
      <c r="AG772" s="4"/>
    </row>
    <row r="773" spans="5:33" ht="12.75">
      <c r="E773" s="148"/>
      <c r="F773" s="148"/>
      <c r="G773" s="148"/>
      <c r="H773" s="148"/>
      <c r="AF773" s="4"/>
      <c r="AG773" s="4"/>
    </row>
    <row r="774" spans="5:33" ht="12.75">
      <c r="E774" s="148"/>
      <c r="F774" s="148"/>
      <c r="G774" s="148"/>
      <c r="H774" s="148"/>
      <c r="AF774" s="4"/>
      <c r="AG774" s="4"/>
    </row>
    <row r="775" spans="5:33" ht="12.75">
      <c r="E775" s="148"/>
      <c r="F775" s="148"/>
      <c r="G775" s="148"/>
      <c r="H775" s="148"/>
      <c r="AF775" s="4"/>
      <c r="AG775" s="4"/>
    </row>
    <row r="776" spans="5:33" ht="12.75">
      <c r="E776" s="148"/>
      <c r="F776" s="148"/>
      <c r="G776" s="148"/>
      <c r="H776" s="148"/>
      <c r="AF776" s="4"/>
      <c r="AG776" s="4"/>
    </row>
    <row r="777" spans="5:33" ht="12.75">
      <c r="E777" s="148"/>
      <c r="F777" s="148"/>
      <c r="G777" s="148"/>
      <c r="H777" s="148"/>
      <c r="AF777" s="4"/>
      <c r="AG777" s="4"/>
    </row>
    <row r="778" spans="5:33" ht="12.75">
      <c r="E778" s="148"/>
      <c r="F778" s="148"/>
      <c r="G778" s="148"/>
      <c r="H778" s="148"/>
      <c r="AF778" s="4"/>
      <c r="AG778" s="4"/>
    </row>
    <row r="779" spans="5:33" ht="12.75">
      <c r="E779" s="148"/>
      <c r="F779" s="148"/>
      <c r="G779" s="148"/>
      <c r="H779" s="148"/>
      <c r="AF779" s="4"/>
      <c r="AG779" s="4"/>
    </row>
    <row r="780" spans="5:33" ht="12.75">
      <c r="E780" s="148"/>
      <c r="F780" s="148"/>
      <c r="G780" s="148"/>
      <c r="H780" s="148"/>
      <c r="AF780" s="4"/>
      <c r="AG780" s="4"/>
    </row>
    <row r="781" spans="5:33" ht="12.75">
      <c r="E781" s="148"/>
      <c r="F781" s="148"/>
      <c r="G781" s="148"/>
      <c r="H781" s="148"/>
      <c r="AF781" s="4"/>
      <c r="AG781" s="4"/>
    </row>
    <row r="782" spans="5:33" ht="12.75">
      <c r="E782" s="148"/>
      <c r="F782" s="148"/>
      <c r="G782" s="148"/>
      <c r="H782" s="148"/>
      <c r="AF782" s="4"/>
      <c r="AG782" s="4"/>
    </row>
    <row r="783" spans="5:33" ht="12.75">
      <c r="E783" s="148"/>
      <c r="F783" s="148"/>
      <c r="G783" s="148"/>
      <c r="H783" s="148"/>
      <c r="AF783" s="4"/>
      <c r="AG783" s="4"/>
    </row>
    <row r="784" spans="5:33" ht="12.75">
      <c r="E784" s="148"/>
      <c r="F784" s="148"/>
      <c r="G784" s="148"/>
      <c r="H784" s="148"/>
      <c r="AF784" s="4"/>
      <c r="AG784" s="4"/>
    </row>
    <row r="785" spans="5:33" ht="12.75">
      <c r="E785" s="148"/>
      <c r="F785" s="148"/>
      <c r="G785" s="148"/>
      <c r="H785" s="148"/>
      <c r="AF785" s="4"/>
      <c r="AG785" s="4"/>
    </row>
    <row r="786" spans="5:33" ht="12.75">
      <c r="E786" s="148"/>
      <c r="F786" s="148"/>
      <c r="G786" s="148"/>
      <c r="H786" s="148"/>
      <c r="AF786" s="4"/>
      <c r="AG786" s="4"/>
    </row>
    <row r="787" spans="5:33" ht="12.75">
      <c r="E787" s="148"/>
      <c r="F787" s="148"/>
      <c r="G787" s="148"/>
      <c r="H787" s="148"/>
      <c r="AF787" s="4"/>
      <c r="AG787" s="4"/>
    </row>
    <row r="788" spans="5:33" ht="12.75">
      <c r="E788" s="148"/>
      <c r="F788" s="148"/>
      <c r="G788" s="148"/>
      <c r="H788" s="148"/>
      <c r="AF788" s="4"/>
      <c r="AG788" s="4"/>
    </row>
    <row r="789" spans="5:33" ht="12.75">
      <c r="E789" s="148"/>
      <c r="F789" s="148"/>
      <c r="G789" s="148"/>
      <c r="H789" s="148"/>
      <c r="AF789" s="4"/>
      <c r="AG789" s="4"/>
    </row>
    <row r="790" spans="5:33" ht="12.75">
      <c r="E790" s="148"/>
      <c r="F790" s="148"/>
      <c r="G790" s="148"/>
      <c r="H790" s="148"/>
      <c r="AF790" s="4"/>
      <c r="AG790" s="4"/>
    </row>
    <row r="791" spans="5:33" ht="12.75">
      <c r="E791" s="148"/>
      <c r="F791" s="148"/>
      <c r="G791" s="148"/>
      <c r="H791" s="148"/>
      <c r="AF791" s="4"/>
      <c r="AG791" s="4"/>
    </row>
    <row r="792" spans="5:33" ht="12.75">
      <c r="E792" s="148"/>
      <c r="F792" s="148"/>
      <c r="G792" s="148"/>
      <c r="H792" s="148"/>
      <c r="AF792" s="4"/>
      <c r="AG792" s="4"/>
    </row>
    <row r="793" spans="5:33" ht="12.75">
      <c r="E793" s="148"/>
      <c r="F793" s="148"/>
      <c r="G793" s="148"/>
      <c r="H793" s="148"/>
      <c r="AF793" s="4"/>
      <c r="AG793" s="4"/>
    </row>
    <row r="794" spans="5:33" ht="12.75">
      <c r="E794" s="148"/>
      <c r="F794" s="148"/>
      <c r="G794" s="148"/>
      <c r="H794" s="148"/>
      <c r="AF794" s="4"/>
      <c r="AG794" s="4"/>
    </row>
    <row r="795" spans="5:33" ht="12.75">
      <c r="E795" s="148"/>
      <c r="F795" s="148"/>
      <c r="G795" s="148"/>
      <c r="H795" s="148"/>
      <c r="AF795" s="4"/>
      <c r="AG795" s="4"/>
    </row>
    <row r="796" spans="5:33" ht="12.75">
      <c r="E796" s="148"/>
      <c r="F796" s="148"/>
      <c r="G796" s="148"/>
      <c r="H796" s="148"/>
      <c r="AF796" s="4"/>
      <c r="AG796" s="4"/>
    </row>
    <row r="797" spans="5:33" ht="12.75">
      <c r="E797" s="148"/>
      <c r="F797" s="148"/>
      <c r="G797" s="148"/>
      <c r="H797" s="148"/>
      <c r="AF797" s="4"/>
      <c r="AG797" s="4"/>
    </row>
    <row r="798" spans="5:33" ht="12.75">
      <c r="E798" s="148"/>
      <c r="F798" s="148"/>
      <c r="G798" s="148"/>
      <c r="H798" s="148"/>
      <c r="AF798" s="4"/>
      <c r="AG798" s="4"/>
    </row>
    <row r="799" spans="5:33" ht="12.75">
      <c r="E799" s="148"/>
      <c r="F799" s="148"/>
      <c r="G799" s="148"/>
      <c r="H799" s="148"/>
      <c r="AF799" s="4"/>
      <c r="AG799" s="4"/>
    </row>
    <row r="800" spans="5:33" ht="12.75">
      <c r="E800" s="148"/>
      <c r="F800" s="148"/>
      <c r="G800" s="148"/>
      <c r="H800" s="148"/>
      <c r="AF800" s="4"/>
      <c r="AG800" s="4"/>
    </row>
    <row r="801" spans="5:33" ht="12.75">
      <c r="E801" s="148"/>
      <c r="F801" s="148"/>
      <c r="G801" s="148"/>
      <c r="H801" s="148"/>
      <c r="AF801" s="4"/>
      <c r="AG801" s="4"/>
    </row>
    <row r="802" spans="5:33" ht="12.75">
      <c r="E802" s="148"/>
      <c r="F802" s="148"/>
      <c r="G802" s="148"/>
      <c r="H802" s="148"/>
      <c r="AF802" s="4"/>
      <c r="AG802" s="4"/>
    </row>
    <row r="803" spans="5:33" ht="12.75">
      <c r="E803" s="148"/>
      <c r="F803" s="148"/>
      <c r="G803" s="148"/>
      <c r="H803" s="148"/>
      <c r="AF803" s="4"/>
      <c r="AG803" s="4"/>
    </row>
    <row r="804" spans="5:33" ht="12.75">
      <c r="E804" s="148"/>
      <c r="F804" s="148"/>
      <c r="G804" s="148"/>
      <c r="H804" s="148"/>
      <c r="AF804" s="4"/>
      <c r="AG804" s="4"/>
    </row>
    <row r="805" spans="5:33" ht="12.75">
      <c r="E805" s="148"/>
      <c r="F805" s="148"/>
      <c r="G805" s="148"/>
      <c r="H805" s="148"/>
      <c r="AF805" s="4"/>
      <c r="AG805" s="4"/>
    </row>
    <row r="806" spans="5:33" ht="12.75">
      <c r="E806" s="148"/>
      <c r="F806" s="148"/>
      <c r="G806" s="148"/>
      <c r="H806" s="148"/>
      <c r="AF806" s="4"/>
      <c r="AG806" s="4"/>
    </row>
    <row r="807" spans="5:33" ht="12.75">
      <c r="E807" s="148"/>
      <c r="F807" s="148"/>
      <c r="G807" s="148"/>
      <c r="H807" s="148"/>
      <c r="AF807" s="4"/>
      <c r="AG807" s="4"/>
    </row>
    <row r="808" spans="5:33" ht="12.75">
      <c r="E808" s="148"/>
      <c r="F808" s="148"/>
      <c r="G808" s="148"/>
      <c r="H808" s="148"/>
      <c r="AF808" s="4"/>
      <c r="AG808" s="4"/>
    </row>
    <row r="809" spans="5:33" ht="12.75">
      <c r="E809" s="148"/>
      <c r="F809" s="148"/>
      <c r="G809" s="148"/>
      <c r="H809" s="148"/>
      <c r="AF809" s="4"/>
      <c r="AG809" s="4"/>
    </row>
    <row r="810" spans="5:33" ht="12.75">
      <c r="E810" s="148"/>
      <c r="F810" s="148"/>
      <c r="G810" s="148"/>
      <c r="H810" s="148"/>
      <c r="AF810" s="4"/>
      <c r="AG810" s="4"/>
    </row>
    <row r="811" spans="5:33" ht="12.75">
      <c r="E811" s="148"/>
      <c r="F811" s="148"/>
      <c r="G811" s="148"/>
      <c r="H811" s="148"/>
      <c r="AF811" s="4"/>
      <c r="AG811" s="4"/>
    </row>
    <row r="812" spans="5:33" ht="12.75">
      <c r="E812" s="148"/>
      <c r="F812" s="148"/>
      <c r="G812" s="148"/>
      <c r="H812" s="148"/>
      <c r="AF812" s="4"/>
      <c r="AG812" s="4"/>
    </row>
    <row r="813" spans="5:33" ht="12.75">
      <c r="E813" s="148"/>
      <c r="F813" s="148"/>
      <c r="G813" s="148"/>
      <c r="H813" s="148"/>
      <c r="AF813" s="4"/>
      <c r="AG813" s="4"/>
    </row>
    <row r="814" spans="5:33" ht="12.75">
      <c r="E814" s="148"/>
      <c r="F814" s="148"/>
      <c r="G814" s="148"/>
      <c r="H814" s="148"/>
      <c r="AF814" s="4"/>
      <c r="AG814" s="4"/>
    </row>
    <row r="815" spans="5:33" ht="12.75">
      <c r="E815" s="148"/>
      <c r="F815" s="148"/>
      <c r="G815" s="148"/>
      <c r="H815" s="148"/>
      <c r="AF815" s="4"/>
      <c r="AG815" s="4"/>
    </row>
    <row r="816" spans="5:33" ht="12.75">
      <c r="E816" s="148"/>
      <c r="F816" s="148"/>
      <c r="G816" s="148"/>
      <c r="H816" s="148"/>
      <c r="AF816" s="4"/>
      <c r="AG816" s="4"/>
    </row>
    <row r="817" spans="5:33" ht="12.75">
      <c r="E817" s="148"/>
      <c r="F817" s="148"/>
      <c r="G817" s="148"/>
      <c r="H817" s="148"/>
      <c r="AF817" s="4"/>
      <c r="AG817" s="4"/>
    </row>
    <row r="818" spans="5:33" ht="12.75">
      <c r="E818" s="148"/>
      <c r="F818" s="148"/>
      <c r="G818" s="148"/>
      <c r="H818" s="148"/>
      <c r="AF818" s="4"/>
      <c r="AG818" s="4"/>
    </row>
    <row r="819" spans="5:33" ht="12.75">
      <c r="E819" s="148"/>
      <c r="F819" s="148"/>
      <c r="G819" s="148"/>
      <c r="H819" s="148"/>
      <c r="AF819" s="4"/>
      <c r="AG819" s="4"/>
    </row>
    <row r="820" spans="5:33" ht="12.75">
      <c r="E820" s="148"/>
      <c r="F820" s="148"/>
      <c r="G820" s="148"/>
      <c r="H820" s="148"/>
      <c r="AF820" s="4"/>
      <c r="AG820" s="4"/>
    </row>
    <row r="821" spans="5:33" ht="12.75">
      <c r="E821" s="148"/>
      <c r="F821" s="148"/>
      <c r="G821" s="148"/>
      <c r="H821" s="148"/>
      <c r="AF821" s="4"/>
      <c r="AG821" s="4"/>
    </row>
    <row r="822" spans="5:33" ht="12.75">
      <c r="E822" s="148"/>
      <c r="F822" s="148"/>
      <c r="G822" s="148"/>
      <c r="H822" s="148"/>
      <c r="AF822" s="4"/>
      <c r="AG822" s="4"/>
    </row>
    <row r="823" spans="5:33" ht="12.75">
      <c r="E823" s="148"/>
      <c r="F823" s="148"/>
      <c r="G823" s="148"/>
      <c r="H823" s="148"/>
      <c r="AF823" s="4"/>
      <c r="AG823" s="4"/>
    </row>
    <row r="824" spans="5:33" ht="12.75">
      <c r="E824" s="148"/>
      <c r="F824" s="148"/>
      <c r="G824" s="148"/>
      <c r="H824" s="148"/>
      <c r="AF824" s="4"/>
      <c r="AG824" s="4"/>
    </row>
    <row r="825" spans="5:33" ht="12.75">
      <c r="E825" s="148"/>
      <c r="F825" s="148"/>
      <c r="G825" s="148"/>
      <c r="H825" s="148"/>
      <c r="AF825" s="4"/>
      <c r="AG825" s="4"/>
    </row>
    <row r="826" spans="5:33" ht="12.75">
      <c r="E826" s="148"/>
      <c r="F826" s="148"/>
      <c r="G826" s="148"/>
      <c r="H826" s="148"/>
      <c r="AF826" s="4"/>
      <c r="AG826" s="4"/>
    </row>
    <row r="827" spans="5:33" ht="12.75">
      <c r="E827" s="148"/>
      <c r="F827" s="148"/>
      <c r="G827" s="148"/>
      <c r="H827" s="148"/>
      <c r="AF827" s="4"/>
      <c r="AG827" s="4"/>
    </row>
    <row r="828" spans="5:33" ht="12.75">
      <c r="E828" s="148"/>
      <c r="F828" s="148"/>
      <c r="G828" s="148"/>
      <c r="H828" s="148"/>
      <c r="AF828" s="4"/>
      <c r="AG828" s="4"/>
    </row>
    <row r="829" spans="5:33" ht="12.75">
      <c r="E829" s="148"/>
      <c r="F829" s="148"/>
      <c r="G829" s="148"/>
      <c r="H829" s="148"/>
      <c r="AF829" s="4"/>
      <c r="AG829" s="4"/>
    </row>
    <row r="830" spans="5:33" ht="12.75">
      <c r="E830" s="148"/>
      <c r="F830" s="148"/>
      <c r="G830" s="148"/>
      <c r="H830" s="148"/>
      <c r="AF830" s="4"/>
      <c r="AG830" s="4"/>
    </row>
    <row r="831" spans="5:33" ht="12.75">
      <c r="E831" s="148"/>
      <c r="F831" s="148"/>
      <c r="G831" s="148"/>
      <c r="H831" s="148"/>
      <c r="AF831" s="4"/>
      <c r="AG831" s="4"/>
    </row>
    <row r="832" spans="5:33" ht="12.75">
      <c r="E832" s="148"/>
      <c r="F832" s="148"/>
      <c r="G832" s="148"/>
      <c r="H832" s="148"/>
      <c r="AF832" s="4"/>
      <c r="AG832" s="4"/>
    </row>
    <row r="833" spans="5:33" ht="12.75">
      <c r="E833" s="148"/>
      <c r="F833" s="148"/>
      <c r="G833" s="148"/>
      <c r="H833" s="148"/>
      <c r="AF833" s="4"/>
      <c r="AG833" s="4"/>
    </row>
    <row r="834" spans="5:33" ht="12.75">
      <c r="E834" s="148"/>
      <c r="F834" s="148"/>
      <c r="G834" s="148"/>
      <c r="H834" s="148"/>
      <c r="AF834" s="4"/>
      <c r="AG834" s="4"/>
    </row>
    <row r="835" spans="5:33" ht="12.75">
      <c r="E835" s="148"/>
      <c r="F835" s="148"/>
      <c r="G835" s="148"/>
      <c r="H835" s="148"/>
      <c r="AF835" s="4"/>
      <c r="AG835" s="4"/>
    </row>
    <row r="836" spans="5:33" ht="12.75">
      <c r="E836" s="148"/>
      <c r="F836" s="148"/>
      <c r="G836" s="148"/>
      <c r="H836" s="148"/>
      <c r="AF836" s="4"/>
      <c r="AG836" s="4"/>
    </row>
    <row r="837" spans="5:33" ht="12.75">
      <c r="E837" s="148"/>
      <c r="F837" s="148"/>
      <c r="G837" s="148"/>
      <c r="H837" s="148"/>
      <c r="AF837" s="4"/>
      <c r="AG837" s="4"/>
    </row>
    <row r="838" spans="5:33" ht="12.75">
      <c r="E838" s="148"/>
      <c r="F838" s="148"/>
      <c r="G838" s="148"/>
      <c r="H838" s="148"/>
      <c r="AF838" s="4"/>
      <c r="AG838" s="4"/>
    </row>
    <row r="839" spans="5:33" ht="12.75">
      <c r="E839" s="148"/>
      <c r="F839" s="148"/>
      <c r="G839" s="148"/>
      <c r="H839" s="148"/>
      <c r="AF839" s="4"/>
      <c r="AG839" s="4"/>
    </row>
    <row r="840" spans="5:33" ht="12.75">
      <c r="E840" s="148"/>
      <c r="F840" s="148"/>
      <c r="G840" s="148"/>
      <c r="H840" s="148"/>
      <c r="AF840" s="4"/>
      <c r="AG840" s="4"/>
    </row>
    <row r="841" spans="5:33" ht="12.75">
      <c r="E841" s="148"/>
      <c r="F841" s="148"/>
      <c r="G841" s="148"/>
      <c r="H841" s="148"/>
      <c r="AF841" s="4"/>
      <c r="AG841" s="4"/>
    </row>
    <row r="842" spans="5:33" ht="12.75">
      <c r="E842" s="148"/>
      <c r="F842" s="148"/>
      <c r="G842" s="148"/>
      <c r="H842" s="148"/>
      <c r="AF842" s="4"/>
      <c r="AG842" s="4"/>
    </row>
    <row r="843" spans="5:33" ht="12.75">
      <c r="E843" s="148"/>
      <c r="F843" s="148"/>
      <c r="G843" s="148"/>
      <c r="H843" s="148"/>
      <c r="AF843" s="4"/>
      <c r="AG843" s="4"/>
    </row>
    <row r="844" spans="5:33" ht="12.75">
      <c r="E844" s="148"/>
      <c r="F844" s="148"/>
      <c r="G844" s="148"/>
      <c r="H844" s="148"/>
      <c r="AF844" s="4"/>
      <c r="AG844" s="4"/>
    </row>
    <row r="845" spans="5:33" ht="12.75">
      <c r="E845" s="148"/>
      <c r="F845" s="148"/>
      <c r="G845" s="148"/>
      <c r="H845" s="148"/>
      <c r="AF845" s="4"/>
      <c r="AG845" s="4"/>
    </row>
    <row r="846" spans="5:33" ht="12.75">
      <c r="E846" s="148"/>
      <c r="F846" s="148"/>
      <c r="G846" s="148"/>
      <c r="H846" s="148"/>
      <c r="AF846" s="4"/>
      <c r="AG846" s="4"/>
    </row>
    <row r="847" spans="5:33" ht="12.75">
      <c r="E847" s="148"/>
      <c r="F847" s="148"/>
      <c r="G847" s="148"/>
      <c r="H847" s="148"/>
      <c r="AF847" s="4"/>
      <c r="AG847" s="4"/>
    </row>
    <row r="848" spans="5:33" ht="12.75">
      <c r="E848" s="148"/>
      <c r="F848" s="148"/>
      <c r="G848" s="148"/>
      <c r="H848" s="148"/>
      <c r="AF848" s="4"/>
      <c r="AG848" s="4"/>
    </row>
    <row r="849" spans="5:33" ht="12.75">
      <c r="E849" s="148"/>
      <c r="F849" s="148"/>
      <c r="G849" s="148"/>
      <c r="H849" s="148"/>
      <c r="AF849" s="4"/>
      <c r="AG849" s="4"/>
    </row>
    <row r="850" spans="5:33" ht="12.75">
      <c r="E850" s="148"/>
      <c r="F850" s="148"/>
      <c r="G850" s="148"/>
      <c r="H850" s="148"/>
      <c r="AF850" s="4"/>
      <c r="AG850" s="4"/>
    </row>
    <row r="851" spans="5:33" ht="12.75">
      <c r="E851" s="148"/>
      <c r="F851" s="148"/>
      <c r="G851" s="148"/>
      <c r="H851" s="148"/>
      <c r="AF851" s="4"/>
      <c r="AG851" s="4"/>
    </row>
    <row r="852" spans="5:33" ht="12.75">
      <c r="E852" s="148"/>
      <c r="F852" s="148"/>
      <c r="G852" s="148"/>
      <c r="H852" s="148"/>
      <c r="AF852" s="4"/>
      <c r="AG852" s="4"/>
    </row>
    <row r="853" spans="5:33" ht="12.75">
      <c r="E853" s="148"/>
      <c r="F853" s="148"/>
      <c r="G853" s="148"/>
      <c r="H853" s="148"/>
      <c r="AF853" s="4"/>
      <c r="AG853" s="4"/>
    </row>
    <row r="854" spans="5:33" ht="12.75">
      <c r="E854" s="148"/>
      <c r="F854" s="148"/>
      <c r="G854" s="148"/>
      <c r="H854" s="148"/>
      <c r="AF854" s="4"/>
      <c r="AG854" s="4"/>
    </row>
    <row r="855" spans="5:33" ht="12.75">
      <c r="E855" s="148"/>
      <c r="F855" s="148"/>
      <c r="G855" s="148"/>
      <c r="H855" s="148"/>
      <c r="AF855" s="4"/>
      <c r="AG855" s="4"/>
    </row>
    <row r="856" spans="5:33" ht="12.75">
      <c r="E856" s="148"/>
      <c r="F856" s="148"/>
      <c r="G856" s="148"/>
      <c r="H856" s="148"/>
      <c r="AF856" s="4"/>
      <c r="AG856" s="4"/>
    </row>
    <row r="857" spans="5:33" ht="12.75">
      <c r="E857" s="148"/>
      <c r="F857" s="148"/>
      <c r="G857" s="148"/>
      <c r="H857" s="148"/>
      <c r="AF857" s="4"/>
      <c r="AG857" s="4"/>
    </row>
    <row r="858" spans="5:33" ht="12.75">
      <c r="E858" s="148"/>
      <c r="F858" s="148"/>
      <c r="G858" s="148"/>
      <c r="H858" s="148"/>
      <c r="AF858" s="4"/>
      <c r="AG858" s="4"/>
    </row>
    <row r="859" spans="5:33" ht="12.75">
      <c r="E859" s="148"/>
      <c r="F859" s="148"/>
      <c r="G859" s="148"/>
      <c r="H859" s="148"/>
      <c r="AF859" s="4"/>
      <c r="AG859" s="4"/>
    </row>
    <row r="860" spans="5:33" ht="12.75">
      <c r="E860" s="148"/>
      <c r="F860" s="148"/>
      <c r="G860" s="148"/>
      <c r="H860" s="148"/>
      <c r="AF860" s="4"/>
      <c r="AG860" s="4"/>
    </row>
    <row r="861" spans="5:33" ht="12.75">
      <c r="E861" s="148"/>
      <c r="F861" s="148"/>
      <c r="G861" s="148"/>
      <c r="H861" s="148"/>
      <c r="AF861" s="4"/>
      <c r="AG861" s="4"/>
    </row>
    <row r="862" spans="5:33" ht="12.75">
      <c r="E862" s="148"/>
      <c r="F862" s="148"/>
      <c r="G862" s="148"/>
      <c r="H862" s="148"/>
      <c r="AF862" s="4"/>
      <c r="AG862" s="4"/>
    </row>
    <row r="863" spans="5:33" ht="12.75">
      <c r="E863" s="148"/>
      <c r="F863" s="148"/>
      <c r="G863" s="148"/>
      <c r="H863" s="148"/>
      <c r="AF863" s="4"/>
      <c r="AG863" s="4"/>
    </row>
    <row r="864" spans="5:33" ht="12.75">
      <c r="E864" s="148"/>
      <c r="F864" s="148"/>
      <c r="G864" s="148"/>
      <c r="H864" s="148"/>
      <c r="AF864" s="4"/>
      <c r="AG864" s="4"/>
    </row>
    <row r="865" spans="5:33" ht="12.75">
      <c r="E865" s="148"/>
      <c r="F865" s="148"/>
      <c r="G865" s="148"/>
      <c r="H865" s="148"/>
      <c r="AF865" s="4"/>
      <c r="AG865" s="4"/>
    </row>
    <row r="866" spans="5:33" ht="12.75">
      <c r="E866" s="148"/>
      <c r="F866" s="148"/>
      <c r="G866" s="148"/>
      <c r="H866" s="148"/>
      <c r="AF866" s="4"/>
      <c r="AG866" s="4"/>
    </row>
    <row r="867" spans="5:33" ht="12.75">
      <c r="E867" s="148"/>
      <c r="F867" s="148"/>
      <c r="G867" s="148"/>
      <c r="H867" s="148"/>
      <c r="AF867" s="4"/>
      <c r="AG867" s="4"/>
    </row>
    <row r="868" spans="5:33" ht="12.75">
      <c r="E868" s="148"/>
      <c r="F868" s="148"/>
      <c r="G868" s="148"/>
      <c r="H868" s="148"/>
      <c r="AF868" s="4"/>
      <c r="AG868" s="4"/>
    </row>
    <row r="869" spans="5:33" ht="12.75">
      <c r="E869" s="148"/>
      <c r="F869" s="148"/>
      <c r="G869" s="148"/>
      <c r="H869" s="148"/>
      <c r="AF869" s="4"/>
      <c r="AG869" s="4"/>
    </row>
    <row r="870" spans="5:33" ht="12.75">
      <c r="E870" s="148"/>
      <c r="F870" s="148"/>
      <c r="G870" s="148"/>
      <c r="H870" s="148"/>
      <c r="AF870" s="4"/>
      <c r="AG870" s="4"/>
    </row>
    <row r="871" spans="5:33" ht="12.75">
      <c r="E871" s="148"/>
      <c r="F871" s="148"/>
      <c r="G871" s="148"/>
      <c r="H871" s="148"/>
      <c r="AF871" s="4"/>
      <c r="AG871" s="4"/>
    </row>
    <row r="872" spans="5:33" ht="12.75">
      <c r="E872" s="148"/>
      <c r="F872" s="148"/>
      <c r="G872" s="148"/>
      <c r="H872" s="148"/>
      <c r="AF872" s="4"/>
      <c r="AG872" s="4"/>
    </row>
    <row r="873" spans="5:33" ht="12.75">
      <c r="E873" s="148"/>
      <c r="F873" s="148"/>
      <c r="G873" s="148"/>
      <c r="H873" s="148"/>
      <c r="AF873" s="4"/>
      <c r="AG873" s="4"/>
    </row>
    <row r="874" spans="5:33" ht="12.75">
      <c r="E874" s="148"/>
      <c r="F874" s="148"/>
      <c r="G874" s="148"/>
      <c r="H874" s="148"/>
      <c r="AF874" s="4"/>
      <c r="AG874" s="4"/>
    </row>
    <row r="875" spans="5:33" ht="12.75">
      <c r="E875" s="148"/>
      <c r="F875" s="148"/>
      <c r="G875" s="148"/>
      <c r="H875" s="148"/>
      <c r="AF875" s="4"/>
      <c r="AG875" s="4"/>
    </row>
    <row r="876" spans="5:33" ht="12.75">
      <c r="E876" s="148"/>
      <c r="F876" s="148"/>
      <c r="G876" s="148"/>
      <c r="H876" s="148"/>
      <c r="AF876" s="4"/>
      <c r="AG876" s="4"/>
    </row>
    <row r="877" spans="5:33" ht="12.75">
      <c r="E877" s="148"/>
      <c r="F877" s="148"/>
      <c r="G877" s="148"/>
      <c r="H877" s="148"/>
      <c r="AF877" s="4"/>
      <c r="AG877" s="4"/>
    </row>
    <row r="878" spans="5:33" ht="12.75">
      <c r="E878" s="148"/>
      <c r="F878" s="148"/>
      <c r="G878" s="148"/>
      <c r="H878" s="148"/>
      <c r="AF878" s="4"/>
      <c r="AG878" s="4"/>
    </row>
    <row r="879" spans="5:33" ht="12.75">
      <c r="E879" s="148"/>
      <c r="F879" s="148"/>
      <c r="G879" s="148"/>
      <c r="H879" s="148"/>
      <c r="AF879" s="4"/>
      <c r="AG879" s="4"/>
    </row>
    <row r="880" spans="5:33" ht="12.75">
      <c r="E880" s="148"/>
      <c r="F880" s="148"/>
      <c r="G880" s="148"/>
      <c r="H880" s="148"/>
      <c r="AF880" s="4"/>
      <c r="AG880" s="4"/>
    </row>
    <row r="881" spans="5:33" ht="12.75">
      <c r="E881" s="148"/>
      <c r="F881" s="148"/>
      <c r="G881" s="148"/>
      <c r="H881" s="148"/>
      <c r="AF881" s="4"/>
      <c r="AG881" s="4"/>
    </row>
    <row r="882" spans="5:33" ht="12.75">
      <c r="E882" s="148"/>
      <c r="F882" s="148"/>
      <c r="G882" s="148"/>
      <c r="H882" s="148"/>
      <c r="AF882" s="4"/>
      <c r="AG882" s="4"/>
    </row>
    <row r="883" spans="5:33" ht="12.75">
      <c r="E883" s="148"/>
      <c r="F883" s="148"/>
      <c r="G883" s="148"/>
      <c r="H883" s="148"/>
      <c r="AF883" s="4"/>
      <c r="AG883" s="4"/>
    </row>
    <row r="884" spans="5:33" ht="12.75">
      <c r="E884" s="148"/>
      <c r="F884" s="148"/>
      <c r="G884" s="148"/>
      <c r="H884" s="148"/>
      <c r="AF884" s="4"/>
      <c r="AG884" s="4"/>
    </row>
    <row r="885" spans="5:33" ht="12.75">
      <c r="E885" s="148"/>
      <c r="F885" s="148"/>
      <c r="G885" s="148"/>
      <c r="H885" s="148"/>
      <c r="AF885" s="4"/>
      <c r="AG885" s="4"/>
    </row>
    <row r="886" spans="5:33" ht="12.75">
      <c r="E886" s="148"/>
      <c r="F886" s="148"/>
      <c r="G886" s="148"/>
      <c r="H886" s="148"/>
      <c r="AF886" s="4"/>
      <c r="AG886" s="4"/>
    </row>
    <row r="887" spans="5:33" ht="12.75">
      <c r="E887" s="148"/>
      <c r="F887" s="148"/>
      <c r="G887" s="148"/>
      <c r="H887" s="148"/>
      <c r="AF887" s="4"/>
      <c r="AG887" s="4"/>
    </row>
    <row r="888" spans="5:33" ht="12.75">
      <c r="E888" s="148"/>
      <c r="F888" s="148"/>
      <c r="G888" s="148"/>
      <c r="H888" s="148"/>
      <c r="AF888" s="4"/>
      <c r="AG888" s="4"/>
    </row>
    <row r="889" spans="5:33" ht="12.75">
      <c r="E889" s="148"/>
      <c r="F889" s="148"/>
      <c r="G889" s="148"/>
      <c r="H889" s="148"/>
      <c r="AF889" s="4"/>
      <c r="AG889" s="4"/>
    </row>
    <row r="890" spans="5:33" ht="12.75">
      <c r="E890" s="148"/>
      <c r="F890" s="148"/>
      <c r="G890" s="148"/>
      <c r="H890" s="148"/>
      <c r="AF890" s="4"/>
      <c r="AG890" s="4"/>
    </row>
    <row r="891" spans="5:33" ht="12.75">
      <c r="E891" s="148"/>
      <c r="F891" s="148"/>
      <c r="G891" s="148"/>
      <c r="H891" s="148"/>
      <c r="AF891" s="4"/>
      <c r="AG891" s="4"/>
    </row>
    <row r="892" spans="5:33" ht="12.75">
      <c r="E892" s="148"/>
      <c r="F892" s="148"/>
      <c r="G892" s="148"/>
      <c r="H892" s="148"/>
      <c r="AF892" s="4"/>
      <c r="AG892" s="4"/>
    </row>
    <row r="893" spans="5:33" ht="12.75">
      <c r="E893" s="148"/>
      <c r="F893" s="148"/>
      <c r="G893" s="148"/>
      <c r="H893" s="148"/>
      <c r="AF893" s="4"/>
      <c r="AG893" s="4"/>
    </row>
    <row r="894" spans="5:33" ht="12.75">
      <c r="E894" s="148"/>
      <c r="F894" s="148"/>
      <c r="G894" s="148"/>
      <c r="H894" s="148"/>
      <c r="AF894" s="4"/>
      <c r="AG894" s="4"/>
    </row>
    <row r="895" spans="5:33" ht="12.75">
      <c r="E895" s="148"/>
      <c r="F895" s="148"/>
      <c r="G895" s="148"/>
      <c r="H895" s="148"/>
      <c r="AF895" s="4"/>
      <c r="AG895" s="4"/>
    </row>
    <row r="896" spans="5:33" ht="12.75">
      <c r="E896" s="148"/>
      <c r="F896" s="148"/>
      <c r="G896" s="148"/>
      <c r="H896" s="148"/>
      <c r="AF896" s="4"/>
      <c r="AG896" s="4"/>
    </row>
    <row r="897" spans="5:33" ht="12.75">
      <c r="E897" s="148"/>
      <c r="F897" s="148"/>
      <c r="G897" s="148"/>
      <c r="H897" s="148"/>
      <c r="AF897" s="4"/>
      <c r="AG897" s="4"/>
    </row>
    <row r="898" spans="5:33" ht="12.75">
      <c r="E898" s="148"/>
      <c r="F898" s="148"/>
      <c r="G898" s="148"/>
      <c r="H898" s="148"/>
      <c r="AF898" s="4"/>
      <c r="AG898" s="4"/>
    </row>
    <row r="899" spans="5:33" ht="12.75">
      <c r="E899" s="148"/>
      <c r="F899" s="148"/>
      <c r="G899" s="148"/>
      <c r="H899" s="148"/>
      <c r="AF899" s="4"/>
      <c r="AG899" s="4"/>
    </row>
    <row r="900" spans="5:33" ht="12.75">
      <c r="E900" s="148"/>
      <c r="F900" s="148"/>
      <c r="G900" s="148"/>
      <c r="H900" s="148"/>
      <c r="AF900" s="4"/>
      <c r="AG900" s="4"/>
    </row>
    <row r="901" spans="5:33" ht="12.75">
      <c r="E901" s="148"/>
      <c r="F901" s="148"/>
      <c r="G901" s="148"/>
      <c r="H901" s="148"/>
      <c r="AF901" s="4"/>
      <c r="AG901" s="4"/>
    </row>
    <row r="902" spans="5:33" ht="12.75">
      <c r="E902" s="148"/>
      <c r="F902" s="148"/>
      <c r="G902" s="148"/>
      <c r="H902" s="148"/>
      <c r="AF902" s="4"/>
      <c r="AG902" s="4"/>
    </row>
    <row r="903" spans="5:33" ht="12.75">
      <c r="E903" s="148"/>
      <c r="F903" s="148"/>
      <c r="G903" s="148"/>
      <c r="H903" s="148"/>
      <c r="AF903" s="4"/>
      <c r="AG903" s="4"/>
    </row>
    <row r="904" spans="5:33" ht="12.75">
      <c r="E904" s="148"/>
      <c r="F904" s="148"/>
      <c r="G904" s="148"/>
      <c r="H904" s="148"/>
      <c r="AF904" s="4"/>
      <c r="AG904" s="4"/>
    </row>
    <row r="905" spans="5:33" ht="12.75">
      <c r="E905" s="148"/>
      <c r="F905" s="148"/>
      <c r="G905" s="148"/>
      <c r="H905" s="148"/>
      <c r="AF905" s="4"/>
      <c r="AG905" s="4"/>
    </row>
    <row r="906" spans="5:33" ht="12.75">
      <c r="E906" s="148"/>
      <c r="F906" s="148"/>
      <c r="G906" s="148"/>
      <c r="H906" s="148"/>
      <c r="AF906" s="4"/>
      <c r="AG906" s="4"/>
    </row>
    <row r="907" spans="5:33" ht="12.75">
      <c r="E907" s="148"/>
      <c r="F907" s="148"/>
      <c r="G907" s="148"/>
      <c r="H907" s="148"/>
      <c r="AF907" s="4"/>
      <c r="AG907" s="4"/>
    </row>
    <row r="908" spans="5:33" ht="12.75">
      <c r="E908" s="148"/>
      <c r="F908" s="148"/>
      <c r="G908" s="148"/>
      <c r="H908" s="148"/>
      <c r="AF908" s="4"/>
      <c r="AG908" s="4"/>
    </row>
    <row r="909" spans="5:33" ht="12.75">
      <c r="E909" s="148"/>
      <c r="F909" s="148"/>
      <c r="G909" s="148"/>
      <c r="H909" s="148"/>
      <c r="AF909" s="4"/>
      <c r="AG909" s="4"/>
    </row>
    <row r="910" spans="5:33" ht="12.75">
      <c r="E910" s="148"/>
      <c r="F910" s="148"/>
      <c r="G910" s="148"/>
      <c r="H910" s="148"/>
      <c r="AF910" s="4"/>
      <c r="AG910" s="4"/>
    </row>
    <row r="911" spans="5:33" ht="12.75">
      <c r="E911" s="148"/>
      <c r="F911" s="148"/>
      <c r="G911" s="148"/>
      <c r="H911" s="148"/>
      <c r="AF911" s="4"/>
      <c r="AG911" s="4"/>
    </row>
    <row r="912" spans="5:33" ht="12.75">
      <c r="E912" s="148"/>
      <c r="F912" s="148"/>
      <c r="G912" s="148"/>
      <c r="H912" s="148"/>
      <c r="AF912" s="4"/>
      <c r="AG912" s="4"/>
    </row>
    <row r="913" spans="5:33" ht="12.75">
      <c r="E913" s="148"/>
      <c r="F913" s="148"/>
      <c r="G913" s="148"/>
      <c r="H913" s="148"/>
      <c r="AF913" s="4"/>
      <c r="AG913" s="4"/>
    </row>
    <row r="914" spans="5:33" ht="12.75">
      <c r="E914" s="148"/>
      <c r="F914" s="148"/>
      <c r="G914" s="148"/>
      <c r="H914" s="148"/>
      <c r="AF914" s="4"/>
      <c r="AG914" s="4"/>
    </row>
    <row r="915" spans="5:33" ht="12.75">
      <c r="E915" s="148"/>
      <c r="F915" s="148"/>
      <c r="G915" s="148"/>
      <c r="H915" s="148"/>
      <c r="AF915" s="4"/>
      <c r="AG915" s="4"/>
    </row>
    <row r="916" spans="5:33" ht="12.75">
      <c r="E916" s="148"/>
      <c r="F916" s="148"/>
      <c r="G916" s="148"/>
      <c r="H916" s="148"/>
      <c r="AF916" s="4"/>
      <c r="AG916" s="4"/>
    </row>
    <row r="917" spans="5:33" ht="12.75">
      <c r="E917" s="148"/>
      <c r="F917" s="148"/>
      <c r="G917" s="148"/>
      <c r="H917" s="148"/>
      <c r="AF917" s="4"/>
      <c r="AG917" s="4"/>
    </row>
    <row r="918" spans="5:33" ht="12.75">
      <c r="E918" s="148"/>
      <c r="F918" s="148"/>
      <c r="G918" s="148"/>
      <c r="H918" s="148"/>
      <c r="AF918" s="4"/>
      <c r="AG918" s="4"/>
    </row>
    <row r="919" spans="5:33" ht="12.75">
      <c r="E919" s="148"/>
      <c r="F919" s="148"/>
      <c r="G919" s="148"/>
      <c r="H919" s="148"/>
      <c r="AF919" s="4"/>
      <c r="AG919" s="4"/>
    </row>
    <row r="920" spans="5:33" ht="12.75">
      <c r="E920" s="148"/>
      <c r="F920" s="148"/>
      <c r="G920" s="148"/>
      <c r="H920" s="148"/>
      <c r="AF920" s="4"/>
      <c r="AG920" s="4"/>
    </row>
    <row r="921" spans="5:33" ht="12.75">
      <c r="E921" s="148"/>
      <c r="F921" s="148"/>
      <c r="G921" s="148"/>
      <c r="H921" s="148"/>
      <c r="AF921" s="4"/>
      <c r="AG921" s="4"/>
    </row>
    <row r="922" spans="5:33" ht="12.75">
      <c r="E922" s="148"/>
      <c r="F922" s="148"/>
      <c r="G922" s="148"/>
      <c r="H922" s="148"/>
      <c r="AF922" s="4"/>
      <c r="AG922" s="4"/>
    </row>
    <row r="923" spans="5:33" ht="12.75">
      <c r="E923" s="148"/>
      <c r="F923" s="148"/>
      <c r="G923" s="148"/>
      <c r="H923" s="148"/>
      <c r="AF923" s="4"/>
      <c r="AG923" s="4"/>
    </row>
    <row r="924" spans="5:33" ht="12.75">
      <c r="E924" s="148"/>
      <c r="F924" s="148"/>
      <c r="G924" s="148"/>
      <c r="H924" s="148"/>
      <c r="AF924" s="4"/>
      <c r="AG924" s="4"/>
    </row>
    <row r="925" spans="5:33" ht="12.75">
      <c r="E925" s="148"/>
      <c r="F925" s="148"/>
      <c r="G925" s="148"/>
      <c r="H925" s="148"/>
      <c r="AF925" s="4"/>
      <c r="AG925" s="4"/>
    </row>
    <row r="926" spans="5:33" ht="12.75">
      <c r="E926" s="148"/>
      <c r="F926" s="148"/>
      <c r="G926" s="148"/>
      <c r="H926" s="148"/>
      <c r="AF926" s="4"/>
      <c r="AG926" s="4"/>
    </row>
    <row r="927" spans="5:33" ht="12.75">
      <c r="E927" s="148"/>
      <c r="F927" s="148"/>
      <c r="G927" s="148"/>
      <c r="H927" s="148"/>
      <c r="AF927" s="4"/>
      <c r="AG927" s="4"/>
    </row>
    <row r="928" spans="5:33" ht="12.75">
      <c r="E928" s="148"/>
      <c r="F928" s="148"/>
      <c r="G928" s="148"/>
      <c r="H928" s="148"/>
      <c r="AF928" s="4"/>
      <c r="AG928" s="4"/>
    </row>
    <row r="929" spans="5:33" ht="12.75">
      <c r="E929" s="148"/>
      <c r="F929" s="148"/>
      <c r="G929" s="148"/>
      <c r="H929" s="148"/>
      <c r="AF929" s="4"/>
      <c r="AG929" s="4"/>
    </row>
    <row r="930" spans="5:33" ht="12.75">
      <c r="E930" s="148"/>
      <c r="F930" s="148"/>
      <c r="G930" s="148"/>
      <c r="H930" s="148"/>
      <c r="AF930" s="4"/>
      <c r="AG930" s="4"/>
    </row>
    <row r="931" spans="5:33" ht="12.75">
      <c r="E931" s="148"/>
      <c r="F931" s="148"/>
      <c r="G931" s="148"/>
      <c r="H931" s="148"/>
      <c r="AF931" s="4"/>
      <c r="AG931" s="4"/>
    </row>
    <row r="932" spans="5:33" ht="12.75">
      <c r="E932" s="148"/>
      <c r="F932" s="148"/>
      <c r="G932" s="148"/>
      <c r="H932" s="148"/>
      <c r="AF932" s="4"/>
      <c r="AG932" s="4"/>
    </row>
    <row r="933" spans="5:33" ht="12.75">
      <c r="E933" s="148"/>
      <c r="F933" s="148"/>
      <c r="G933" s="148"/>
      <c r="H933" s="148"/>
      <c r="AF933" s="4"/>
      <c r="AG933" s="4"/>
    </row>
    <row r="934" spans="5:33" ht="12.75">
      <c r="E934" s="148"/>
      <c r="F934" s="148"/>
      <c r="G934" s="148"/>
      <c r="H934" s="148"/>
      <c r="AF934" s="4"/>
      <c r="AG934" s="4"/>
    </row>
    <row r="935" spans="5:33" ht="12.75">
      <c r="E935" s="148"/>
      <c r="F935" s="148"/>
      <c r="G935" s="148"/>
      <c r="H935" s="148"/>
      <c r="AF935" s="4"/>
      <c r="AG935" s="4"/>
    </row>
    <row r="936" spans="5:33" ht="12.75">
      <c r="E936" s="148"/>
      <c r="F936" s="148"/>
      <c r="G936" s="148"/>
      <c r="H936" s="148"/>
      <c r="AF936" s="4"/>
      <c r="AG936" s="4"/>
    </row>
    <row r="937" spans="5:33" ht="12.75">
      <c r="E937" s="148"/>
      <c r="F937" s="148"/>
      <c r="G937" s="148"/>
      <c r="H937" s="148"/>
      <c r="AF937" s="4"/>
      <c r="AG937" s="4"/>
    </row>
    <row r="938" spans="5:33" ht="12.75">
      <c r="E938" s="148"/>
      <c r="F938" s="148"/>
      <c r="G938" s="148"/>
      <c r="H938" s="148"/>
      <c r="AF938" s="4"/>
      <c r="AG938" s="4"/>
    </row>
    <row r="939" spans="5:33" ht="12.75">
      <c r="E939" s="148"/>
      <c r="F939" s="148"/>
      <c r="G939" s="148"/>
      <c r="H939" s="148"/>
      <c r="AF939" s="4"/>
      <c r="AG939" s="4"/>
    </row>
    <row r="940" spans="5:33" ht="12.75">
      <c r="E940" s="148"/>
      <c r="F940" s="148"/>
      <c r="G940" s="148"/>
      <c r="H940" s="148"/>
      <c r="AF940" s="4"/>
      <c r="AG940" s="4"/>
    </row>
    <row r="941" spans="5:33" ht="12.75">
      <c r="E941" s="148"/>
      <c r="F941" s="148"/>
      <c r="G941" s="148"/>
      <c r="H941" s="148"/>
      <c r="AF941" s="4"/>
      <c r="AG941" s="4"/>
    </row>
    <row r="942" spans="5:33" ht="12.75">
      <c r="E942" s="148"/>
      <c r="F942" s="148"/>
      <c r="G942" s="148"/>
      <c r="H942" s="148"/>
      <c r="AF942" s="4"/>
      <c r="AG942" s="4"/>
    </row>
    <row r="943" spans="5:33" ht="12.75">
      <c r="E943" s="148"/>
      <c r="F943" s="148"/>
      <c r="G943" s="148"/>
      <c r="H943" s="148"/>
      <c r="AF943" s="4"/>
      <c r="AG943" s="4"/>
    </row>
    <row r="944" spans="5:33" ht="12.75">
      <c r="E944" s="148"/>
      <c r="F944" s="148"/>
      <c r="G944" s="148"/>
      <c r="H944" s="148"/>
      <c r="AF944" s="4"/>
      <c r="AG944" s="4"/>
    </row>
    <row r="945" spans="5:33" ht="12.75">
      <c r="E945" s="148"/>
      <c r="F945" s="148"/>
      <c r="G945" s="148"/>
      <c r="H945" s="148"/>
      <c r="AF945" s="4"/>
      <c r="AG945" s="4"/>
    </row>
    <row r="946" spans="5:33" ht="12.75">
      <c r="E946" s="148"/>
      <c r="F946" s="148"/>
      <c r="G946" s="148"/>
      <c r="H946" s="148"/>
      <c r="AF946" s="4"/>
      <c r="AG946" s="4"/>
    </row>
    <row r="947" spans="5:33" ht="12.75">
      <c r="E947" s="148"/>
      <c r="F947" s="148"/>
      <c r="G947" s="148"/>
      <c r="H947" s="148"/>
      <c r="AF947" s="4"/>
      <c r="AG947" s="4"/>
    </row>
    <row r="948" spans="5:33" ht="12.75">
      <c r="E948" s="148"/>
      <c r="F948" s="148"/>
      <c r="G948" s="148"/>
      <c r="H948" s="148"/>
      <c r="AF948" s="4"/>
      <c r="AG948" s="4"/>
    </row>
    <row r="949" spans="5:33" ht="12.75">
      <c r="E949" s="148"/>
      <c r="F949" s="148"/>
      <c r="G949" s="148"/>
      <c r="H949" s="148"/>
      <c r="AF949" s="4"/>
      <c r="AG949" s="4"/>
    </row>
    <row r="950" spans="5:33" ht="12.75">
      <c r="E950" s="148"/>
      <c r="F950" s="148"/>
      <c r="G950" s="148"/>
      <c r="H950" s="148"/>
      <c r="AF950" s="4"/>
      <c r="AG950" s="4"/>
    </row>
    <row r="951" spans="5:33" ht="12.75">
      <c r="E951" s="148"/>
      <c r="F951" s="148"/>
      <c r="G951" s="148"/>
      <c r="H951" s="148"/>
      <c r="AF951" s="4"/>
      <c r="AG951" s="4"/>
    </row>
    <row r="952" spans="5:33" ht="12.75">
      <c r="E952" s="148"/>
      <c r="F952" s="148"/>
      <c r="G952" s="148"/>
      <c r="H952" s="148"/>
      <c r="AF952" s="4"/>
      <c r="AG952" s="4"/>
    </row>
    <row r="953" spans="5:33" ht="12.75">
      <c r="E953" s="148"/>
      <c r="F953" s="148"/>
      <c r="G953" s="148"/>
      <c r="H953" s="148"/>
      <c r="AF953" s="4"/>
      <c r="AG953" s="4"/>
    </row>
    <row r="954" spans="5:33" ht="12.75">
      <c r="E954" s="148"/>
      <c r="F954" s="148"/>
      <c r="G954" s="148"/>
      <c r="H954" s="148"/>
      <c r="AF954" s="4"/>
      <c r="AG954" s="4"/>
    </row>
    <row r="955" spans="5:33" ht="12.75">
      <c r="E955" s="148"/>
      <c r="F955" s="148"/>
      <c r="G955" s="148"/>
      <c r="H955" s="148"/>
      <c r="AF955" s="4"/>
      <c r="AG955" s="4"/>
    </row>
    <row r="956" spans="5:33" ht="12.75">
      <c r="E956" s="148"/>
      <c r="F956" s="148"/>
      <c r="G956" s="148"/>
      <c r="H956" s="148"/>
      <c r="AF956" s="4"/>
      <c r="AG956" s="4"/>
    </row>
    <row r="957" spans="5:33" ht="12.75">
      <c r="E957" s="148"/>
      <c r="F957" s="148"/>
      <c r="G957" s="148"/>
      <c r="H957" s="148"/>
      <c r="AF957" s="4"/>
      <c r="AG957" s="4"/>
    </row>
    <row r="958" spans="5:33" ht="12.75">
      <c r="E958" s="148"/>
      <c r="F958" s="148"/>
      <c r="G958" s="148"/>
      <c r="H958" s="148"/>
      <c r="AF958" s="4"/>
      <c r="AG958" s="4"/>
    </row>
    <row r="959" spans="5:33" ht="12.75">
      <c r="E959" s="148"/>
      <c r="F959" s="148"/>
      <c r="G959" s="148"/>
      <c r="H959" s="148"/>
      <c r="AF959" s="4"/>
      <c r="AG959" s="4"/>
    </row>
    <row r="960" spans="5:33" ht="12.75">
      <c r="E960" s="148"/>
      <c r="F960" s="148"/>
      <c r="G960" s="148"/>
      <c r="H960" s="148"/>
      <c r="AF960" s="4"/>
      <c r="AG960" s="4"/>
    </row>
    <row r="961" spans="5:33" ht="12.75">
      <c r="E961" s="148"/>
      <c r="F961" s="148"/>
      <c r="G961" s="148"/>
      <c r="H961" s="148"/>
      <c r="AF961" s="4"/>
      <c r="AG961" s="4"/>
    </row>
    <row r="962" spans="5:33" ht="12.75">
      <c r="E962" s="148"/>
      <c r="F962" s="148"/>
      <c r="G962" s="148"/>
      <c r="H962" s="148"/>
      <c r="AF962" s="4"/>
      <c r="AG962" s="4"/>
    </row>
    <row r="963" spans="5:33" ht="12.75">
      <c r="E963" s="148"/>
      <c r="F963" s="148"/>
      <c r="G963" s="148"/>
      <c r="H963" s="148"/>
      <c r="AF963" s="4"/>
      <c r="AG963" s="4"/>
    </row>
    <row r="964" spans="5:33" ht="12.75">
      <c r="E964" s="148"/>
      <c r="F964" s="148"/>
      <c r="G964" s="148"/>
      <c r="H964" s="148"/>
      <c r="AF964" s="4"/>
      <c r="AG964" s="4"/>
    </row>
    <row r="965" spans="5:33" ht="12.75">
      <c r="E965" s="148"/>
      <c r="F965" s="148"/>
      <c r="G965" s="148"/>
      <c r="H965" s="148"/>
      <c r="AF965" s="4"/>
      <c r="AG965" s="4"/>
    </row>
    <row r="966" spans="5:33" ht="12.75">
      <c r="E966" s="148"/>
      <c r="F966" s="148"/>
      <c r="G966" s="148"/>
      <c r="H966" s="148"/>
      <c r="AF966" s="4"/>
      <c r="AG966" s="4"/>
    </row>
    <row r="967" spans="5:33" ht="12.75">
      <c r="E967" s="148"/>
      <c r="F967" s="148"/>
      <c r="G967" s="148"/>
      <c r="H967" s="148"/>
      <c r="AF967" s="4"/>
      <c r="AG967" s="4"/>
    </row>
    <row r="968" spans="5:33" ht="12.75">
      <c r="E968" s="148"/>
      <c r="F968" s="148"/>
      <c r="G968" s="148"/>
      <c r="H968" s="148"/>
      <c r="AF968" s="4"/>
      <c r="AG968" s="4"/>
    </row>
    <row r="969" spans="5:33" ht="12.75">
      <c r="E969" s="148"/>
      <c r="F969" s="148"/>
      <c r="G969" s="148"/>
      <c r="H969" s="148"/>
      <c r="AF969" s="4"/>
      <c r="AG969" s="4"/>
    </row>
    <row r="970" spans="5:33" ht="12.75">
      <c r="E970" s="148"/>
      <c r="F970" s="148"/>
      <c r="G970" s="148"/>
      <c r="H970" s="148"/>
      <c r="AF970" s="4"/>
      <c r="AG970" s="4"/>
    </row>
    <row r="971" spans="5:33" ht="12.75">
      <c r="E971" s="148"/>
      <c r="F971" s="148"/>
      <c r="G971" s="148"/>
      <c r="H971" s="148"/>
      <c r="AF971" s="4"/>
      <c r="AG971" s="4"/>
    </row>
    <row r="972" spans="5:33" ht="12.75">
      <c r="E972" s="148"/>
      <c r="F972" s="148"/>
      <c r="G972" s="148"/>
      <c r="H972" s="148"/>
      <c r="AF972" s="4"/>
      <c r="AG972" s="4"/>
    </row>
    <row r="973" spans="5:33" ht="12.75">
      <c r="E973" s="148"/>
      <c r="F973" s="148"/>
      <c r="G973" s="148"/>
      <c r="H973" s="148"/>
      <c r="AF973" s="4"/>
      <c r="AG973" s="4"/>
    </row>
    <row r="974" spans="5:33" ht="12.75">
      <c r="E974" s="148"/>
      <c r="F974" s="148"/>
      <c r="G974" s="148"/>
      <c r="H974" s="148"/>
      <c r="AF974" s="4"/>
      <c r="AG974" s="4"/>
    </row>
    <row r="975" spans="5:33" ht="12.75">
      <c r="E975" s="148"/>
      <c r="F975" s="148"/>
      <c r="G975" s="148"/>
      <c r="H975" s="148"/>
      <c r="AF975" s="4"/>
      <c r="AG975" s="4"/>
    </row>
    <row r="976" spans="5:33" ht="12.75">
      <c r="E976" s="148"/>
      <c r="F976" s="148"/>
      <c r="G976" s="148"/>
      <c r="H976" s="148"/>
      <c r="AF976" s="4"/>
      <c r="AG976" s="4"/>
    </row>
    <row r="977" spans="5:33" ht="12.75">
      <c r="E977" s="148"/>
      <c r="F977" s="148"/>
      <c r="G977" s="148"/>
      <c r="H977" s="148"/>
      <c r="AF977" s="4"/>
      <c r="AG977" s="4"/>
    </row>
    <row r="978" spans="5:33" ht="12.75">
      <c r="E978" s="148"/>
      <c r="F978" s="148"/>
      <c r="G978" s="148"/>
      <c r="H978" s="148"/>
      <c r="AF978" s="4"/>
      <c r="AG978" s="4"/>
    </row>
    <row r="979" spans="5:33" ht="12.75">
      <c r="E979" s="148"/>
      <c r="F979" s="148"/>
      <c r="G979" s="148"/>
      <c r="H979" s="148"/>
      <c r="AF979" s="4"/>
      <c r="AG979" s="4"/>
    </row>
    <row r="980" spans="5:33" ht="12.75">
      <c r="E980" s="148"/>
      <c r="F980" s="148"/>
      <c r="G980" s="148"/>
      <c r="H980" s="148"/>
      <c r="AF980" s="4"/>
      <c r="AG980" s="4"/>
    </row>
    <row r="981" spans="5:33" ht="12.75">
      <c r="E981" s="148"/>
      <c r="F981" s="148"/>
      <c r="G981" s="148"/>
      <c r="H981" s="148"/>
      <c r="AF981" s="4"/>
      <c r="AG981" s="4"/>
    </row>
    <row r="982" spans="5:33" ht="12.75">
      <c r="E982" s="148"/>
      <c r="F982" s="148"/>
      <c r="G982" s="148"/>
      <c r="H982" s="148"/>
      <c r="AF982" s="4"/>
      <c r="AG982" s="4"/>
    </row>
    <row r="983" spans="5:33" ht="12.75">
      <c r="E983" s="148"/>
      <c r="F983" s="148"/>
      <c r="G983" s="148"/>
      <c r="H983" s="148"/>
      <c r="AF983" s="4"/>
      <c r="AG983" s="4"/>
    </row>
    <row r="984" spans="5:33" ht="12.75">
      <c r="E984" s="148"/>
      <c r="F984" s="148"/>
      <c r="G984" s="148"/>
      <c r="H984" s="148"/>
      <c r="AF984" s="4"/>
      <c r="AG984" s="4"/>
    </row>
    <row r="985" spans="5:33" ht="12.75">
      <c r="E985" s="148"/>
      <c r="F985" s="148"/>
      <c r="G985" s="148"/>
      <c r="H985" s="148"/>
      <c r="AF985" s="4"/>
      <c r="AG985" s="4"/>
    </row>
    <row r="986" spans="5:33" ht="12.75">
      <c r="E986" s="148"/>
      <c r="F986" s="148"/>
      <c r="G986" s="148"/>
      <c r="H986" s="148"/>
      <c r="AF986" s="4"/>
      <c r="AG986" s="4"/>
    </row>
    <row r="987" spans="5:33" ht="12.75">
      <c r="E987" s="148"/>
      <c r="F987" s="148"/>
      <c r="G987" s="148"/>
      <c r="H987" s="148"/>
      <c r="AF987" s="4"/>
      <c r="AG987" s="4"/>
    </row>
    <row r="988" spans="5:33" ht="12.75">
      <c r="E988" s="148"/>
      <c r="F988" s="148"/>
      <c r="G988" s="148"/>
      <c r="H988" s="148"/>
      <c r="AF988" s="4"/>
      <c r="AG988" s="4"/>
    </row>
    <row r="989" spans="5:33" ht="12.75">
      <c r="E989" s="148"/>
      <c r="F989" s="148"/>
      <c r="G989" s="148"/>
      <c r="H989" s="148"/>
      <c r="AF989" s="4"/>
      <c r="AG989" s="4"/>
    </row>
    <row r="990" spans="5:33" ht="12.75">
      <c r="E990" s="148"/>
      <c r="F990" s="148"/>
      <c r="G990" s="148"/>
      <c r="H990" s="148"/>
      <c r="AF990" s="4"/>
      <c r="AG990" s="4"/>
    </row>
    <row r="991" spans="5:33" ht="12.75">
      <c r="E991" s="148"/>
      <c r="F991" s="148"/>
      <c r="G991" s="148"/>
      <c r="H991" s="148"/>
      <c r="AF991" s="4"/>
      <c r="AG991" s="4"/>
    </row>
    <row r="992" spans="5:33" ht="12.75">
      <c r="E992" s="148"/>
      <c r="F992" s="148"/>
      <c r="G992" s="148"/>
      <c r="H992" s="148"/>
      <c r="AF992" s="4"/>
      <c r="AG992" s="4"/>
    </row>
    <row r="993" spans="5:33" ht="12.75">
      <c r="E993" s="148"/>
      <c r="F993" s="148"/>
      <c r="G993" s="148"/>
      <c r="H993" s="148"/>
      <c r="AF993" s="4"/>
      <c r="AG993" s="4"/>
    </row>
  </sheetData>
  <mergeCells count="19">
    <mergeCell ref="K37:L37"/>
    <mergeCell ref="J39:L39"/>
    <mergeCell ref="J40:J46"/>
    <mergeCell ref="K47:L47"/>
    <mergeCell ref="K13:L13"/>
    <mergeCell ref="K14:L14"/>
    <mergeCell ref="J18:L18"/>
    <mergeCell ref="J19:J25"/>
    <mergeCell ref="K26:L26"/>
    <mergeCell ref="J29:L29"/>
    <mergeCell ref="J30:J36"/>
    <mergeCell ref="A5:B5"/>
    <mergeCell ref="J5:L5"/>
    <mergeCell ref="A6:A8"/>
    <mergeCell ref="D6:D8"/>
    <mergeCell ref="J6:J15"/>
    <mergeCell ref="A9:A11"/>
    <mergeCell ref="D9:D11"/>
    <mergeCell ref="K15:L15"/>
  </mergeCells>
  <phoneticPr fontId="86" type="noConversion"/>
  <conditionalFormatting sqref="M30:AH36 Y40:AH46 B34:C36 D36 M46:X46">
    <cfRule type="cellIs" dxfId="28" priority="2" operator="lessThan">
      <formula>0</formula>
    </cfRule>
  </conditionalFormatting>
  <conditionalFormatting sqref="M40:AH46">
    <cfRule type="colorScale" priority="3">
      <colorScale>
        <cfvo type="formula" val="0"/>
        <cfvo type="formula" val="3"/>
        <cfvo type="formula" val="10"/>
        <color rgb="FF9FC5E8"/>
        <color rgb="FFFFFFFF"/>
        <color rgb="FFE67C73"/>
      </colorScale>
    </cfRule>
  </conditionalFormatting>
  <conditionalFormatting sqref="N30:AH35 Y40:AC46 AE40:AH46">
    <cfRule type="cellIs" dxfId="27" priority="1" operator="lessThanOrEqual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8AC6"/>
    <outlinePr summaryBelow="0" summaryRight="0"/>
  </sheetPr>
  <dimension ref="A1:AH993"/>
  <sheetViews>
    <sheetView workbookViewId="0"/>
  </sheetViews>
  <sheetFormatPr defaultColWidth="14.42578125" defaultRowHeight="15.75" customHeight="1" outlineLevelRow="1"/>
  <cols>
    <col min="9" max="10" width="15.42578125" customWidth="1"/>
    <col min="13" max="22" width="14.42578125" hidden="1"/>
  </cols>
  <sheetData>
    <row r="1" spans="1:34">
      <c r="A1" s="1"/>
      <c r="B1" s="1"/>
      <c r="C1" s="1"/>
      <c r="D1" s="1"/>
      <c r="E1" s="2"/>
      <c r="F1" s="2"/>
      <c r="G1" s="2"/>
      <c r="H1" s="2"/>
      <c r="I1" s="1"/>
      <c r="J1" s="1"/>
      <c r="K1" s="3"/>
      <c r="L1" s="3"/>
      <c r="AF1" s="4"/>
      <c r="AG1" s="4"/>
    </row>
    <row r="2" spans="1:34" ht="15.75" customHeight="1">
      <c r="A2" s="1"/>
      <c r="B2" s="1"/>
      <c r="C2" s="1"/>
      <c r="D2" s="1"/>
      <c r="E2" s="2"/>
      <c r="F2" s="2"/>
      <c r="G2" s="2"/>
      <c r="H2" s="2"/>
      <c r="I2" s="5"/>
      <c r="J2" s="5" t="s">
        <v>1</v>
      </c>
      <c r="K2" s="3"/>
      <c r="L2" s="3"/>
      <c r="AF2" s="4"/>
      <c r="AG2" s="4"/>
    </row>
    <row r="3" spans="1:34">
      <c r="A3" s="1"/>
      <c r="B3" s="1"/>
      <c r="C3" s="1"/>
      <c r="D3" s="1"/>
      <c r="E3" s="2"/>
      <c r="F3" s="2"/>
      <c r="G3" s="2"/>
      <c r="H3" s="2"/>
      <c r="I3" s="6"/>
      <c r="J3" s="6"/>
      <c r="K3" s="3"/>
      <c r="L3" s="3"/>
      <c r="AF3" s="4"/>
      <c r="AG3" s="4"/>
    </row>
    <row r="4" spans="1:34">
      <c r="A4" s="1" t="s">
        <v>5</v>
      </c>
      <c r="B4" s="1"/>
      <c r="C4" s="1"/>
      <c r="D4" s="1"/>
      <c r="E4" s="2" t="s">
        <v>4</v>
      </c>
      <c r="F4" s="2"/>
      <c r="G4" s="2"/>
      <c r="H4" s="2"/>
      <c r="I4" s="6"/>
      <c r="J4" s="6">
        <v>1700</v>
      </c>
      <c r="K4" s="3"/>
      <c r="L4" s="3"/>
      <c r="Q4" s="7">
        <v>2026</v>
      </c>
      <c r="V4" s="8"/>
      <c r="W4" s="8"/>
      <c r="AB4" s="7"/>
      <c r="AF4" s="4"/>
      <c r="AG4" s="4"/>
    </row>
    <row r="5" spans="1:34">
      <c r="A5" s="859" t="s">
        <v>6</v>
      </c>
      <c r="B5" s="860"/>
      <c r="C5" s="10" t="s">
        <v>7</v>
      </c>
      <c r="D5" s="11" t="s">
        <v>8</v>
      </c>
      <c r="E5" s="12" t="s">
        <v>9</v>
      </c>
      <c r="F5" s="12" t="s">
        <v>10</v>
      </c>
      <c r="G5" s="13" t="s">
        <v>11</v>
      </c>
      <c r="H5" s="13" t="s">
        <v>12</v>
      </c>
      <c r="I5" s="6"/>
      <c r="J5" s="861" t="s">
        <v>13</v>
      </c>
      <c r="K5" s="862"/>
      <c r="L5" s="863"/>
      <c r="M5" s="14" t="s">
        <v>14</v>
      </c>
      <c r="N5" s="15" t="s">
        <v>15</v>
      </c>
      <c r="O5" s="15" t="s">
        <v>16</v>
      </c>
      <c r="P5" s="15" t="s">
        <v>17</v>
      </c>
      <c r="Q5" s="15" t="s">
        <v>18</v>
      </c>
      <c r="R5" s="15" t="s">
        <v>19</v>
      </c>
      <c r="S5" s="15" t="s">
        <v>20</v>
      </c>
      <c r="T5" s="15" t="s">
        <v>21</v>
      </c>
      <c r="U5" s="15" t="s">
        <v>22</v>
      </c>
      <c r="V5" s="15" t="s">
        <v>23</v>
      </c>
      <c r="W5" s="15" t="s">
        <v>24</v>
      </c>
      <c r="X5" s="16" t="s">
        <v>25</v>
      </c>
      <c r="Y5" s="15" t="s">
        <v>26</v>
      </c>
      <c r="Z5" s="15" t="s">
        <v>15</v>
      </c>
      <c r="AA5" s="15" t="s">
        <v>16</v>
      </c>
      <c r="AB5" s="15" t="s">
        <v>17</v>
      </c>
      <c r="AC5" s="15" t="s">
        <v>18</v>
      </c>
      <c r="AD5" s="16" t="s">
        <v>19</v>
      </c>
      <c r="AE5" s="18" t="s">
        <v>20</v>
      </c>
      <c r="AF5" s="18" t="s">
        <v>21</v>
      </c>
      <c r="AG5" s="18" t="s">
        <v>22</v>
      </c>
      <c r="AH5" s="18" t="s">
        <v>23</v>
      </c>
    </row>
    <row r="6" spans="1:34">
      <c r="A6" s="864" t="s">
        <v>27</v>
      </c>
      <c r="B6" s="20">
        <v>1</v>
      </c>
      <c r="C6" s="21">
        <v>33</v>
      </c>
      <c r="D6" s="867">
        <f>SUM(C6:C8)</f>
        <v>44</v>
      </c>
      <c r="E6" s="22">
        <f>D6/22</f>
        <v>2</v>
      </c>
      <c r="F6" s="23">
        <f t="shared" ref="F6:F11" si="0">AVERAGE(T19:V19)/4</f>
        <v>1901</v>
      </c>
      <c r="G6" s="24">
        <v>1500</v>
      </c>
      <c r="H6" s="22">
        <f t="shared" ref="H6:H8" si="1">C6*144</f>
        <v>4752</v>
      </c>
      <c r="I6" s="27">
        <f t="shared" ref="I6:I11" si="2">G6*4</f>
        <v>6000</v>
      </c>
      <c r="J6" s="868" t="s">
        <v>28</v>
      </c>
      <c r="K6" s="883" t="s">
        <v>27</v>
      </c>
      <c r="L6" s="26">
        <v>1</v>
      </c>
      <c r="M6" s="28">
        <v>12308</v>
      </c>
      <c r="N6" s="29"/>
      <c r="O6" s="29">
        <v>6072</v>
      </c>
      <c r="P6" s="29">
        <v>7488</v>
      </c>
      <c r="Q6" s="29">
        <v>11520</v>
      </c>
      <c r="R6" s="29"/>
      <c r="S6" s="29">
        <v>11948</v>
      </c>
      <c r="T6" s="29"/>
      <c r="U6" s="29">
        <v>44008</v>
      </c>
      <c r="V6" s="29">
        <v>11572</v>
      </c>
      <c r="W6" s="29">
        <v>13320</v>
      </c>
      <c r="X6" s="30"/>
      <c r="Y6" s="29"/>
      <c r="Z6" s="29"/>
      <c r="AA6" s="29">
        <v>12672</v>
      </c>
      <c r="AB6" s="29"/>
      <c r="AC6" s="33">
        <v>6336</v>
      </c>
      <c r="AD6" s="30">
        <f t="shared" ref="AD6:AD8" si="3">C6*144*4</f>
        <v>19008</v>
      </c>
      <c r="AE6" s="34"/>
      <c r="AF6" s="36"/>
      <c r="AG6" s="37"/>
      <c r="AH6" s="37"/>
    </row>
    <row r="7" spans="1:34">
      <c r="A7" s="865"/>
      <c r="B7" s="20">
        <v>2</v>
      </c>
      <c r="C7" s="21">
        <v>11</v>
      </c>
      <c r="D7" s="865"/>
      <c r="E7" s="22"/>
      <c r="F7" s="23">
        <f t="shared" si="0"/>
        <v>718.58333333333337</v>
      </c>
      <c r="G7" s="24">
        <v>1500</v>
      </c>
      <c r="H7" s="22">
        <f t="shared" si="1"/>
        <v>1584</v>
      </c>
      <c r="I7" s="27">
        <f t="shared" si="2"/>
        <v>6000</v>
      </c>
      <c r="J7" s="869"/>
      <c r="K7" s="884"/>
      <c r="L7" s="26">
        <v>2</v>
      </c>
      <c r="M7" s="28">
        <v>5948</v>
      </c>
      <c r="N7" s="29">
        <v>6336</v>
      </c>
      <c r="O7" s="29">
        <v>432</v>
      </c>
      <c r="P7" s="29">
        <v>6252</v>
      </c>
      <c r="Q7" s="29">
        <v>1152</v>
      </c>
      <c r="R7" s="29"/>
      <c r="S7" s="38">
        <v>7080</v>
      </c>
      <c r="T7" s="39">
        <v>6336</v>
      </c>
      <c r="U7" s="39">
        <v>8064</v>
      </c>
      <c r="V7" s="39"/>
      <c r="W7" s="39">
        <v>17088</v>
      </c>
      <c r="X7" s="40">
        <v>6772</v>
      </c>
      <c r="Y7" s="39"/>
      <c r="Z7" s="29"/>
      <c r="AA7" s="29"/>
      <c r="AB7" s="39"/>
      <c r="AC7" s="44">
        <v>6336</v>
      </c>
      <c r="AD7" s="30">
        <f t="shared" si="3"/>
        <v>6336</v>
      </c>
      <c r="AE7" s="34"/>
      <c r="AF7" s="36"/>
      <c r="AG7" s="37"/>
      <c r="AH7" s="37"/>
    </row>
    <row r="8" spans="1:34">
      <c r="A8" s="866"/>
      <c r="B8" s="20">
        <v>3</v>
      </c>
      <c r="C8" s="21">
        <v>0</v>
      </c>
      <c r="D8" s="866"/>
      <c r="E8" s="22"/>
      <c r="F8" s="23">
        <f t="shared" si="0"/>
        <v>340</v>
      </c>
      <c r="G8" s="24">
        <v>1500</v>
      </c>
      <c r="H8" s="22">
        <f t="shared" si="1"/>
        <v>0</v>
      </c>
      <c r="I8" s="27">
        <f t="shared" si="2"/>
        <v>6000</v>
      </c>
      <c r="J8" s="869"/>
      <c r="K8" s="885"/>
      <c r="L8" s="47">
        <v>3</v>
      </c>
      <c r="M8" s="28"/>
      <c r="N8" s="29">
        <v>6212</v>
      </c>
      <c r="O8" s="29"/>
      <c r="P8" s="29"/>
      <c r="Q8" s="29"/>
      <c r="R8" s="29"/>
      <c r="S8" s="29"/>
      <c r="T8" s="29"/>
      <c r="U8" s="29">
        <v>6912</v>
      </c>
      <c r="V8" s="29"/>
      <c r="W8" s="29">
        <v>332</v>
      </c>
      <c r="X8" s="30">
        <v>5760</v>
      </c>
      <c r="Y8" s="29"/>
      <c r="Z8" s="29"/>
      <c r="AA8" s="29"/>
      <c r="AB8" s="29"/>
      <c r="AC8" s="48"/>
      <c r="AD8" s="30">
        <f t="shared" si="3"/>
        <v>0</v>
      </c>
      <c r="AE8" s="34"/>
      <c r="AF8" s="36"/>
      <c r="AG8" s="37"/>
      <c r="AH8" s="37"/>
    </row>
    <row r="9" spans="1:34">
      <c r="A9" s="871" t="s">
        <v>32</v>
      </c>
      <c r="B9" s="50">
        <v>1</v>
      </c>
      <c r="C9" s="51">
        <v>150</v>
      </c>
      <c r="D9" s="872">
        <f>SUM(C9:C11)</f>
        <v>240</v>
      </c>
      <c r="E9" s="22">
        <f>D9/24</f>
        <v>10</v>
      </c>
      <c r="F9" s="23">
        <f t="shared" si="0"/>
        <v>6009.5</v>
      </c>
      <c r="G9" s="24">
        <v>2120</v>
      </c>
      <c r="H9" s="22">
        <f t="shared" ref="H9:H11" si="4">C9*96</f>
        <v>14400</v>
      </c>
      <c r="I9" s="27">
        <f t="shared" si="2"/>
        <v>8480</v>
      </c>
      <c r="J9" s="869"/>
      <c r="K9" s="886" t="s">
        <v>32</v>
      </c>
      <c r="L9" s="53">
        <v>1</v>
      </c>
      <c r="M9" s="28">
        <v>9216</v>
      </c>
      <c r="N9" s="29">
        <v>16512</v>
      </c>
      <c r="O9" s="29">
        <v>24300</v>
      </c>
      <c r="P9" s="29"/>
      <c r="Q9" s="29">
        <v>60572</v>
      </c>
      <c r="R9" s="29">
        <v>21560</v>
      </c>
      <c r="S9" s="29">
        <v>23808</v>
      </c>
      <c r="T9" s="29"/>
      <c r="U9" s="29">
        <v>39428</v>
      </c>
      <c r="V9" s="29">
        <v>20880</v>
      </c>
      <c r="W9" s="29">
        <v>14968</v>
      </c>
      <c r="X9" s="30">
        <v>18432</v>
      </c>
      <c r="Y9" s="55">
        <v>79960</v>
      </c>
      <c r="Z9" s="55">
        <v>20352</v>
      </c>
      <c r="AA9" s="29">
        <v>48000</v>
      </c>
      <c r="AB9" s="29">
        <v>28416</v>
      </c>
      <c r="AC9" s="44">
        <v>76416</v>
      </c>
      <c r="AD9" s="30">
        <f t="shared" ref="AD9:AD11" si="5">C9*96*4</f>
        <v>57600</v>
      </c>
      <c r="AE9" s="34"/>
      <c r="AF9" s="36"/>
      <c r="AG9" s="37"/>
      <c r="AH9" s="37"/>
    </row>
    <row r="10" spans="1:34">
      <c r="A10" s="865"/>
      <c r="B10" s="50">
        <v>2</v>
      </c>
      <c r="C10" s="51">
        <v>90</v>
      </c>
      <c r="D10" s="865"/>
      <c r="E10" s="22"/>
      <c r="F10" s="23">
        <f t="shared" si="0"/>
        <v>3391.3333333333335</v>
      </c>
      <c r="G10" s="24">
        <v>2280</v>
      </c>
      <c r="H10" s="22">
        <f t="shared" si="4"/>
        <v>8640</v>
      </c>
      <c r="I10" s="27">
        <f t="shared" si="2"/>
        <v>9120</v>
      </c>
      <c r="J10" s="869"/>
      <c r="K10" s="884"/>
      <c r="L10" s="53">
        <v>2</v>
      </c>
      <c r="M10" s="28"/>
      <c r="N10" s="29"/>
      <c r="O10" s="29">
        <v>12432</v>
      </c>
      <c r="P10" s="29"/>
      <c r="Q10" s="29">
        <v>30336</v>
      </c>
      <c r="R10" s="29">
        <v>21584</v>
      </c>
      <c r="S10" s="29"/>
      <c r="T10" s="39">
        <v>6528</v>
      </c>
      <c r="U10" s="39"/>
      <c r="V10" s="39"/>
      <c r="W10" s="39">
        <v>46080</v>
      </c>
      <c r="X10" s="40">
        <v>9216</v>
      </c>
      <c r="Y10" s="55">
        <v>26216</v>
      </c>
      <c r="Z10" s="55">
        <v>11520</v>
      </c>
      <c r="AA10" s="55">
        <v>24896</v>
      </c>
      <c r="AB10" s="55">
        <v>11136</v>
      </c>
      <c r="AC10" s="44">
        <v>26880</v>
      </c>
      <c r="AD10" s="30">
        <f t="shared" si="5"/>
        <v>34560</v>
      </c>
      <c r="AE10" s="34"/>
      <c r="AF10" s="36"/>
      <c r="AG10" s="37"/>
      <c r="AH10" s="37"/>
    </row>
    <row r="11" spans="1:34">
      <c r="A11" s="866"/>
      <c r="B11" s="50">
        <v>3</v>
      </c>
      <c r="C11" s="51">
        <v>0</v>
      </c>
      <c r="D11" s="866"/>
      <c r="E11" s="22"/>
      <c r="F11" s="23">
        <f t="shared" si="0"/>
        <v>648.91666666666663</v>
      </c>
      <c r="G11" s="24">
        <v>1880</v>
      </c>
      <c r="H11" s="22">
        <f t="shared" si="4"/>
        <v>0</v>
      </c>
      <c r="I11" s="27">
        <f t="shared" si="2"/>
        <v>7520</v>
      </c>
      <c r="J11" s="869"/>
      <c r="K11" s="885"/>
      <c r="L11" s="57">
        <v>3</v>
      </c>
      <c r="M11" s="28"/>
      <c r="N11" s="29"/>
      <c r="O11" s="29">
        <v>8832</v>
      </c>
      <c r="P11" s="29"/>
      <c r="Q11" s="29">
        <v>232</v>
      </c>
      <c r="R11" s="29">
        <v>10688</v>
      </c>
      <c r="S11" s="29"/>
      <c r="T11" s="29"/>
      <c r="U11" s="29"/>
      <c r="V11" s="29"/>
      <c r="W11" s="29">
        <v>4592</v>
      </c>
      <c r="X11" s="30"/>
      <c r="Y11" s="29">
        <v>2424</v>
      </c>
      <c r="Z11" s="39"/>
      <c r="AA11" s="39">
        <v>7520</v>
      </c>
      <c r="AB11" s="29">
        <v>4224</v>
      </c>
      <c r="AC11" s="44">
        <v>7296</v>
      </c>
      <c r="AD11" s="30">
        <f t="shared" si="5"/>
        <v>0</v>
      </c>
      <c r="AE11" s="34"/>
      <c r="AF11" s="36"/>
      <c r="AG11" s="37"/>
      <c r="AH11" s="37"/>
    </row>
    <row r="12" spans="1:34">
      <c r="A12" s="1"/>
      <c r="B12" s="1"/>
      <c r="C12" s="1"/>
      <c r="D12" s="1"/>
      <c r="E12" s="2"/>
      <c r="F12" s="2"/>
      <c r="G12" s="2"/>
      <c r="H12" s="2"/>
      <c r="I12" s="6"/>
      <c r="J12" s="869"/>
      <c r="K12" s="60" t="s">
        <v>37</v>
      </c>
      <c r="L12" s="59" t="s">
        <v>36</v>
      </c>
      <c r="M12" s="28"/>
      <c r="N12" s="29"/>
      <c r="O12" s="29"/>
      <c r="P12" s="29">
        <v>6912</v>
      </c>
      <c r="Q12" s="29"/>
      <c r="R12" s="29">
        <v>5208</v>
      </c>
      <c r="S12" s="29"/>
      <c r="T12" s="29"/>
      <c r="U12" s="29">
        <v>11628</v>
      </c>
      <c r="V12" s="29">
        <v>11796</v>
      </c>
      <c r="W12" s="29"/>
      <c r="X12" s="30"/>
      <c r="Y12" s="29"/>
      <c r="Z12" s="29"/>
      <c r="AA12" s="29"/>
      <c r="AB12" s="29"/>
      <c r="AC12" s="29"/>
      <c r="AD12" s="30"/>
      <c r="AE12" s="34"/>
      <c r="AF12" s="36"/>
      <c r="AG12" s="37"/>
      <c r="AH12" s="37"/>
    </row>
    <row r="13" spans="1:34">
      <c r="A13" s="1"/>
      <c r="B13" s="1"/>
      <c r="D13" s="1"/>
      <c r="E13" s="2"/>
      <c r="F13" s="2"/>
      <c r="G13" s="2"/>
      <c r="H13" s="2"/>
      <c r="I13" s="6"/>
      <c r="J13" s="869"/>
      <c r="K13" s="873" t="s">
        <v>38</v>
      </c>
      <c r="L13" s="870"/>
      <c r="M13" s="61">
        <f t="shared" ref="M13:AG13" si="6">SUM(M6:M12)</f>
        <v>27472</v>
      </c>
      <c r="N13" s="61">
        <f t="shared" si="6"/>
        <v>29060</v>
      </c>
      <c r="O13" s="61">
        <f t="shared" si="6"/>
        <v>52068</v>
      </c>
      <c r="P13" s="61">
        <f t="shared" si="6"/>
        <v>20652</v>
      </c>
      <c r="Q13" s="61">
        <f t="shared" si="6"/>
        <v>103812</v>
      </c>
      <c r="R13" s="61">
        <f t="shared" si="6"/>
        <v>59040</v>
      </c>
      <c r="S13" s="61">
        <f t="shared" si="6"/>
        <v>42836</v>
      </c>
      <c r="T13" s="61">
        <f t="shared" si="6"/>
        <v>12864</v>
      </c>
      <c r="U13" s="61">
        <f t="shared" si="6"/>
        <v>110040</v>
      </c>
      <c r="V13" s="61">
        <f t="shared" si="6"/>
        <v>44248</v>
      </c>
      <c r="W13" s="61">
        <f t="shared" si="6"/>
        <v>96380</v>
      </c>
      <c r="X13" s="62">
        <f t="shared" si="6"/>
        <v>40180</v>
      </c>
      <c r="Y13" s="61">
        <f t="shared" si="6"/>
        <v>108600</v>
      </c>
      <c r="Z13" s="61">
        <f t="shared" si="6"/>
        <v>31872</v>
      </c>
      <c r="AA13" s="61">
        <f t="shared" si="6"/>
        <v>93088</v>
      </c>
      <c r="AB13" s="61">
        <f t="shared" si="6"/>
        <v>43776</v>
      </c>
      <c r="AC13" s="61">
        <f t="shared" si="6"/>
        <v>123264</v>
      </c>
      <c r="AD13" s="62">
        <f t="shared" si="6"/>
        <v>117504</v>
      </c>
      <c r="AE13" s="65">
        <f t="shared" si="6"/>
        <v>0</v>
      </c>
      <c r="AF13" s="65">
        <f t="shared" si="6"/>
        <v>0</v>
      </c>
      <c r="AG13" s="66">
        <f t="shared" si="6"/>
        <v>0</v>
      </c>
      <c r="AH13" s="66"/>
    </row>
    <row r="14" spans="1:34">
      <c r="A14" s="1"/>
      <c r="B14" s="1"/>
      <c r="C14" s="67"/>
      <c r="D14" s="1"/>
      <c r="E14" s="2"/>
      <c r="F14" s="2"/>
      <c r="G14" s="2"/>
      <c r="H14" s="2"/>
      <c r="I14" s="6"/>
      <c r="J14" s="869"/>
      <c r="K14" s="873" t="s">
        <v>39</v>
      </c>
      <c r="L14" s="870"/>
      <c r="M14" s="68">
        <f>금액!E11</f>
        <v>445720200.15999997</v>
      </c>
      <c r="N14" s="68">
        <f>금액!F11</f>
        <v>306576478.99999994</v>
      </c>
      <c r="O14" s="68">
        <f>금액!G11</f>
        <v>159696992.04000002</v>
      </c>
      <c r="P14" s="68">
        <f>금액!H11</f>
        <v>335394437.64000005</v>
      </c>
      <c r="Q14" s="68">
        <f>금액!I11</f>
        <v>311194418.75999999</v>
      </c>
      <c r="R14" s="68">
        <f>금액!J11</f>
        <v>1208753.52</v>
      </c>
      <c r="S14" s="68">
        <f>금액!K11</f>
        <v>464871513.08000004</v>
      </c>
      <c r="T14" s="68">
        <f>금액!L11</f>
        <v>154764443.52000001</v>
      </c>
      <c r="U14" s="68">
        <f>금액!M11</f>
        <v>1440435218.9199998</v>
      </c>
      <c r="V14" s="68">
        <f>금액!N11</f>
        <v>1118482806.28</v>
      </c>
      <c r="W14" s="68">
        <f>금액!O11</f>
        <v>2579325212.9200001</v>
      </c>
      <c r="X14" s="69">
        <f>금액!P11</f>
        <v>3640946104.1200004</v>
      </c>
      <c r="Y14" s="68">
        <f>금액!Q11</f>
        <v>2382909388.8000002</v>
      </c>
      <c r="Z14" s="68">
        <f>금액!R11</f>
        <v>1276009543.6800001</v>
      </c>
      <c r="AA14" s="68">
        <f>금액!S11</f>
        <v>4064254391.04</v>
      </c>
      <c r="AB14" s="68">
        <f>금액!T11</f>
        <v>1752591421.4400001</v>
      </c>
      <c r="AC14" s="68">
        <f>금액!U11</f>
        <v>3260983322.8800001</v>
      </c>
      <c r="AD14" s="69">
        <f>금액!V11</f>
        <v>154625201.28</v>
      </c>
      <c r="AE14" s="68">
        <f>금액!W11</f>
        <v>0</v>
      </c>
      <c r="AF14" s="70">
        <f>금액!X11</f>
        <v>0</v>
      </c>
      <c r="AG14" s="70">
        <f>금액!Y11</f>
        <v>0</v>
      </c>
      <c r="AH14" s="70"/>
    </row>
    <row r="15" spans="1:34">
      <c r="A15" s="1"/>
      <c r="B15" s="1"/>
      <c r="C15" s="67"/>
      <c r="D15" s="1"/>
      <c r="E15" s="2"/>
      <c r="F15" s="2"/>
      <c r="G15" s="2"/>
      <c r="H15" s="2"/>
      <c r="I15" s="6"/>
      <c r="J15" s="870"/>
      <c r="K15" s="873" t="s">
        <v>40</v>
      </c>
      <c r="L15" s="870"/>
      <c r="M15" s="68">
        <f t="shared" ref="M15:AG15" si="7">M14*$J$4</f>
        <v>757724340272</v>
      </c>
      <c r="N15" s="68">
        <f t="shared" si="7"/>
        <v>521180014299.99988</v>
      </c>
      <c r="O15" s="68">
        <f t="shared" si="7"/>
        <v>271484886468.00003</v>
      </c>
      <c r="P15" s="68">
        <f t="shared" si="7"/>
        <v>570170543988.00012</v>
      </c>
      <c r="Q15" s="68">
        <f t="shared" si="7"/>
        <v>529030511892</v>
      </c>
      <c r="R15" s="68">
        <f t="shared" si="7"/>
        <v>2054880984</v>
      </c>
      <c r="S15" s="68">
        <f t="shared" si="7"/>
        <v>790281572236.00012</v>
      </c>
      <c r="T15" s="68">
        <f t="shared" si="7"/>
        <v>263099553984.00003</v>
      </c>
      <c r="U15" s="68">
        <f t="shared" si="7"/>
        <v>2448739872163.9995</v>
      </c>
      <c r="V15" s="68">
        <f t="shared" si="7"/>
        <v>1901420770676</v>
      </c>
      <c r="W15" s="68">
        <f t="shared" si="7"/>
        <v>4384852861964</v>
      </c>
      <c r="X15" s="72">
        <f t="shared" si="7"/>
        <v>6189608377004.001</v>
      </c>
      <c r="Y15" s="68">
        <f t="shared" si="7"/>
        <v>4050945960960.0005</v>
      </c>
      <c r="Z15" s="68">
        <f t="shared" si="7"/>
        <v>2169216224256</v>
      </c>
      <c r="AA15" s="68">
        <f t="shared" si="7"/>
        <v>6909232464768</v>
      </c>
      <c r="AB15" s="68">
        <f t="shared" si="7"/>
        <v>2979405416448</v>
      </c>
      <c r="AC15" s="68">
        <f t="shared" si="7"/>
        <v>5543671648896</v>
      </c>
      <c r="AD15" s="72">
        <f t="shared" si="7"/>
        <v>262862842176</v>
      </c>
      <c r="AE15" s="68">
        <f t="shared" si="7"/>
        <v>0</v>
      </c>
      <c r="AF15" s="70">
        <f t="shared" si="7"/>
        <v>0</v>
      </c>
      <c r="AG15" s="70">
        <f t="shared" si="7"/>
        <v>0</v>
      </c>
      <c r="AH15" s="70"/>
    </row>
    <row r="16" spans="1:34">
      <c r="A16" s="1"/>
      <c r="B16" s="1"/>
      <c r="C16" s="67"/>
      <c r="D16" s="1"/>
      <c r="E16" s="2"/>
      <c r="F16" s="2"/>
      <c r="G16" s="2"/>
      <c r="H16" s="2"/>
      <c r="I16" s="6"/>
      <c r="J16" s="73"/>
      <c r="K16" s="73"/>
      <c r="L16" s="73"/>
      <c r="P16" s="74"/>
      <c r="Q16" s="74"/>
      <c r="R16" s="74"/>
      <c r="S16" s="74"/>
      <c r="T16" s="75"/>
      <c r="U16" s="75"/>
      <c r="V16" s="3"/>
      <c r="W16" s="3"/>
      <c r="Y16" s="74"/>
      <c r="Z16" s="74"/>
      <c r="AA16" s="74"/>
      <c r="AB16" s="74"/>
      <c r="AG16" s="4"/>
      <c r="AH16" s="4"/>
    </row>
    <row r="17" spans="1:34">
      <c r="A17" s="1"/>
      <c r="B17" s="1"/>
      <c r="C17" s="67"/>
      <c r="D17" s="1"/>
      <c r="E17" s="2"/>
      <c r="F17" s="2"/>
      <c r="G17" s="2"/>
      <c r="H17" s="2"/>
      <c r="I17" s="6"/>
      <c r="J17" s="73"/>
      <c r="K17" s="73"/>
      <c r="L17" s="73"/>
      <c r="M17" s="76" t="s">
        <v>41</v>
      </c>
      <c r="N17" s="76" t="s">
        <v>41</v>
      </c>
      <c r="O17" s="76" t="s">
        <v>41</v>
      </c>
      <c r="P17" s="76" t="s">
        <v>41</v>
      </c>
      <c r="Q17" s="76" t="s">
        <v>41</v>
      </c>
      <c r="R17" s="76" t="s">
        <v>41</v>
      </c>
      <c r="S17" s="76" t="s">
        <v>41</v>
      </c>
      <c r="T17" s="76" t="s">
        <v>41</v>
      </c>
      <c r="U17" s="76" t="s">
        <v>41</v>
      </c>
      <c r="V17" s="76" t="s">
        <v>41</v>
      </c>
      <c r="W17" s="76" t="s">
        <v>41</v>
      </c>
      <c r="X17" s="77" t="s">
        <v>42</v>
      </c>
      <c r="Y17" s="77" t="s">
        <v>42</v>
      </c>
      <c r="Z17" s="77" t="s">
        <v>42</v>
      </c>
      <c r="AA17" s="77" t="s">
        <v>42</v>
      </c>
      <c r="AB17" s="77" t="s">
        <v>42</v>
      </c>
      <c r="AC17" s="77" t="s">
        <v>42</v>
      </c>
      <c r="AD17" s="77" t="s">
        <v>42</v>
      </c>
      <c r="AE17" s="77" t="s">
        <v>42</v>
      </c>
      <c r="AF17" s="77" t="s">
        <v>42</v>
      </c>
      <c r="AG17" s="77" t="s">
        <v>42</v>
      </c>
      <c r="AH17" s="77" t="s">
        <v>42</v>
      </c>
    </row>
    <row r="18" spans="1:34" outlineLevel="1">
      <c r="A18" s="1"/>
      <c r="B18" s="1"/>
      <c r="C18" s="1"/>
      <c r="D18" s="1"/>
      <c r="E18" s="2"/>
      <c r="F18" s="2"/>
      <c r="G18" s="2"/>
      <c r="H18" s="2"/>
      <c r="I18" s="6"/>
      <c r="J18" s="878" t="s">
        <v>43</v>
      </c>
      <c r="K18" s="879"/>
      <c r="L18" s="860"/>
      <c r="M18" s="79" t="s">
        <v>26</v>
      </c>
      <c r="N18" s="79" t="s">
        <v>15</v>
      </c>
      <c r="O18" s="79" t="s">
        <v>16</v>
      </c>
      <c r="P18" s="79" t="s">
        <v>17</v>
      </c>
      <c r="Q18" s="80" t="s">
        <v>18</v>
      </c>
      <c r="R18" s="80" t="s">
        <v>19</v>
      </c>
      <c r="S18" s="80" t="s">
        <v>20</v>
      </c>
      <c r="T18" s="80" t="s">
        <v>21</v>
      </c>
      <c r="U18" s="80" t="s">
        <v>22</v>
      </c>
      <c r="V18" s="80" t="s">
        <v>23</v>
      </c>
      <c r="W18" s="80" t="s">
        <v>24</v>
      </c>
      <c r="X18" s="81" t="s">
        <v>25</v>
      </c>
      <c r="Y18" s="79" t="s">
        <v>26</v>
      </c>
      <c r="Z18" s="79" t="s">
        <v>15</v>
      </c>
      <c r="AA18" s="80" t="s">
        <v>16</v>
      </c>
      <c r="AB18" s="80" t="s">
        <v>17</v>
      </c>
      <c r="AC18" s="80" t="s">
        <v>18</v>
      </c>
      <c r="AD18" s="81" t="s">
        <v>19</v>
      </c>
      <c r="AE18" s="82" t="s">
        <v>20</v>
      </c>
      <c r="AF18" s="82" t="s">
        <v>21</v>
      </c>
      <c r="AG18" s="83" t="s">
        <v>22</v>
      </c>
      <c r="AH18" s="83" t="s">
        <v>23</v>
      </c>
    </row>
    <row r="19" spans="1:34" outlineLevel="1">
      <c r="A19" s="1"/>
      <c r="B19" s="1"/>
      <c r="C19" s="1"/>
      <c r="D19" s="1"/>
      <c r="E19" s="2"/>
      <c r="F19" s="2"/>
      <c r="G19" s="2"/>
      <c r="H19" s="2"/>
      <c r="I19" s="6"/>
      <c r="J19" s="880" t="s">
        <v>44</v>
      </c>
      <c r="K19" s="864" t="s">
        <v>27</v>
      </c>
      <c r="L19" s="20">
        <v>1</v>
      </c>
      <c r="M19" s="84">
        <v>10091</v>
      </c>
      <c r="N19" s="84">
        <v>10170</v>
      </c>
      <c r="O19" s="84">
        <v>10429</v>
      </c>
      <c r="P19" s="84">
        <v>10538</v>
      </c>
      <c r="Q19" s="84">
        <v>10862</v>
      </c>
      <c r="R19" s="84">
        <v>7305</v>
      </c>
      <c r="S19" s="84">
        <v>8012</v>
      </c>
      <c r="T19" s="84">
        <v>6754</v>
      </c>
      <c r="U19" s="84">
        <v>7920</v>
      </c>
      <c r="V19" s="84">
        <v>8138</v>
      </c>
      <c r="W19" s="84">
        <v>8285</v>
      </c>
      <c r="X19" s="85">
        <v>8534</v>
      </c>
      <c r="Y19" s="86">
        <v>8192</v>
      </c>
      <c r="Z19" s="87">
        <v>8356</v>
      </c>
      <c r="AA19" s="87">
        <v>8607</v>
      </c>
      <c r="AB19" s="88">
        <v>8779</v>
      </c>
      <c r="AC19" s="84">
        <v>9042</v>
      </c>
      <c r="AD19" s="85">
        <v>8771</v>
      </c>
      <c r="AE19" s="89">
        <v>8946</v>
      </c>
      <c r="AF19" s="89">
        <v>9125</v>
      </c>
      <c r="AG19" s="90">
        <v>9217</v>
      </c>
      <c r="AH19" s="90">
        <v>9032</v>
      </c>
    </row>
    <row r="20" spans="1:34" outlineLevel="1">
      <c r="A20" s="1"/>
      <c r="B20" s="1"/>
      <c r="C20" s="1"/>
      <c r="D20" s="1"/>
      <c r="E20" s="2"/>
      <c r="F20" s="2"/>
      <c r="G20" s="2"/>
      <c r="H20" s="2"/>
      <c r="I20" s="6"/>
      <c r="J20" s="865"/>
      <c r="K20" s="865"/>
      <c r="L20" s="20">
        <v>2</v>
      </c>
      <c r="M20" s="91">
        <v>6149</v>
      </c>
      <c r="N20" s="91">
        <v>6793</v>
      </c>
      <c r="O20" s="91">
        <v>6655</v>
      </c>
      <c r="P20" s="91">
        <v>6740</v>
      </c>
      <c r="Q20" s="91">
        <v>6647</v>
      </c>
      <c r="R20" s="91">
        <v>1972</v>
      </c>
      <c r="S20" s="91">
        <v>588</v>
      </c>
      <c r="T20" s="91">
        <v>2070</v>
      </c>
      <c r="U20" s="91">
        <v>2887</v>
      </c>
      <c r="V20" s="91">
        <v>3666</v>
      </c>
      <c r="W20" s="91">
        <v>3946</v>
      </c>
      <c r="X20" s="92">
        <v>4222</v>
      </c>
      <c r="Y20" s="87">
        <v>4053</v>
      </c>
      <c r="Z20" s="87">
        <v>4134</v>
      </c>
      <c r="AA20" s="87">
        <v>4217</v>
      </c>
      <c r="AB20" s="88">
        <v>4259</v>
      </c>
      <c r="AC20" s="91">
        <v>4387</v>
      </c>
      <c r="AD20" s="92">
        <v>4212</v>
      </c>
      <c r="AE20" s="86">
        <v>4296</v>
      </c>
      <c r="AF20" s="86">
        <v>4382</v>
      </c>
      <c r="AG20" s="93">
        <v>4469</v>
      </c>
      <c r="AH20" s="93">
        <v>4380</v>
      </c>
    </row>
    <row r="21" spans="1:34" outlineLevel="1">
      <c r="A21" s="1"/>
      <c r="B21" s="1"/>
      <c r="C21" s="1"/>
      <c r="D21" s="1"/>
      <c r="E21" s="2"/>
      <c r="F21" s="2"/>
      <c r="G21" s="2"/>
      <c r="H21" s="2"/>
      <c r="I21" s="6"/>
      <c r="J21" s="865"/>
      <c r="K21" s="866"/>
      <c r="L21" s="20">
        <v>3</v>
      </c>
      <c r="M21" s="84">
        <v>1975</v>
      </c>
      <c r="N21" s="84">
        <v>2094</v>
      </c>
      <c r="O21" s="84">
        <v>2101</v>
      </c>
      <c r="P21" s="84">
        <v>1953</v>
      </c>
      <c r="Q21" s="84">
        <v>1892</v>
      </c>
      <c r="R21" s="84">
        <v>1785</v>
      </c>
      <c r="S21" s="84">
        <v>1922</v>
      </c>
      <c r="T21" s="84">
        <v>1407</v>
      </c>
      <c r="U21" s="84">
        <v>1512</v>
      </c>
      <c r="V21" s="84">
        <v>1161</v>
      </c>
      <c r="W21" s="84">
        <v>1086</v>
      </c>
      <c r="X21" s="92">
        <v>1108</v>
      </c>
      <c r="Y21" s="86">
        <v>1074</v>
      </c>
      <c r="Z21" s="87">
        <v>1085</v>
      </c>
      <c r="AA21" s="87">
        <v>1096</v>
      </c>
      <c r="AB21" s="88">
        <v>1107</v>
      </c>
      <c r="AC21" s="84">
        <v>1118</v>
      </c>
      <c r="AD21" s="92">
        <v>1096</v>
      </c>
      <c r="AE21" s="89">
        <v>1107</v>
      </c>
      <c r="AF21" s="89">
        <v>1118</v>
      </c>
      <c r="AG21" s="90">
        <v>1129</v>
      </c>
      <c r="AH21" s="90">
        <v>1095</v>
      </c>
    </row>
    <row r="22" spans="1:34" outlineLevel="1">
      <c r="A22" s="1"/>
      <c r="B22" s="1"/>
      <c r="C22" s="1"/>
      <c r="D22" s="1"/>
      <c r="E22" s="2"/>
      <c r="F22" s="2"/>
      <c r="G22" s="2"/>
      <c r="H22" s="2"/>
      <c r="I22" s="6"/>
      <c r="J22" s="865"/>
      <c r="K22" s="871" t="s">
        <v>32</v>
      </c>
      <c r="L22" s="50">
        <v>1</v>
      </c>
      <c r="M22" s="84">
        <v>26395</v>
      </c>
      <c r="N22" s="84">
        <v>18036</v>
      </c>
      <c r="O22" s="84">
        <v>19567</v>
      </c>
      <c r="P22" s="84">
        <v>21775</v>
      </c>
      <c r="Q22" s="84">
        <v>24094</v>
      </c>
      <c r="R22" s="84">
        <v>20361</v>
      </c>
      <c r="S22" s="84">
        <v>21905</v>
      </c>
      <c r="T22" s="84">
        <v>22294</v>
      </c>
      <c r="U22" s="84">
        <v>24686</v>
      </c>
      <c r="V22" s="84">
        <v>25134</v>
      </c>
      <c r="W22" s="84">
        <v>30239</v>
      </c>
      <c r="X22" s="92">
        <v>35682</v>
      </c>
      <c r="Y22" s="86">
        <v>34612</v>
      </c>
      <c r="Z22" s="87">
        <v>35304</v>
      </c>
      <c r="AA22" s="87">
        <v>36363</v>
      </c>
      <c r="AB22" s="88">
        <v>37454</v>
      </c>
      <c r="AC22" s="84">
        <v>38577</v>
      </c>
      <c r="AD22" s="92">
        <v>37806</v>
      </c>
      <c r="AE22" s="89">
        <v>38562</v>
      </c>
      <c r="AF22" s="89">
        <v>39333</v>
      </c>
      <c r="AG22" s="90">
        <v>40120</v>
      </c>
      <c r="AH22" s="90">
        <v>40922</v>
      </c>
    </row>
    <row r="23" spans="1:34" outlineLevel="1">
      <c r="A23" s="1"/>
      <c r="B23" s="1"/>
      <c r="D23" s="1"/>
      <c r="E23" s="2"/>
      <c r="F23" s="2"/>
      <c r="G23" s="2"/>
      <c r="H23" s="2"/>
      <c r="I23" s="6"/>
      <c r="J23" s="865"/>
      <c r="K23" s="865"/>
      <c r="L23" s="50">
        <v>2</v>
      </c>
      <c r="M23" s="84">
        <v>9582</v>
      </c>
      <c r="N23" s="84">
        <v>11036</v>
      </c>
      <c r="O23" s="84">
        <v>10102</v>
      </c>
      <c r="P23" s="84">
        <v>10640</v>
      </c>
      <c r="Q23" s="84">
        <v>11504</v>
      </c>
      <c r="R23" s="84">
        <v>10237</v>
      </c>
      <c r="S23" s="84">
        <v>13952</v>
      </c>
      <c r="T23" s="84">
        <v>13606</v>
      </c>
      <c r="U23" s="84">
        <v>14459</v>
      </c>
      <c r="V23" s="84">
        <v>12631</v>
      </c>
      <c r="W23" s="84">
        <v>15942</v>
      </c>
      <c r="X23" s="92">
        <v>17377</v>
      </c>
      <c r="Y23" s="86">
        <v>17203</v>
      </c>
      <c r="Z23" s="87">
        <v>17719</v>
      </c>
      <c r="AA23" s="87">
        <v>18428</v>
      </c>
      <c r="AB23" s="88">
        <v>19165</v>
      </c>
      <c r="AC23" s="84">
        <v>19740</v>
      </c>
      <c r="AD23" s="92">
        <v>19937</v>
      </c>
      <c r="AE23" s="89">
        <v>20336</v>
      </c>
      <c r="AF23" s="89">
        <v>20743</v>
      </c>
      <c r="AG23" s="90">
        <v>21158</v>
      </c>
      <c r="AH23" s="90">
        <v>21369</v>
      </c>
    </row>
    <row r="24" spans="1:34" outlineLevel="1">
      <c r="A24" s="1"/>
      <c r="B24" s="1"/>
      <c r="C24" s="1"/>
      <c r="D24" s="1"/>
      <c r="E24" s="2"/>
      <c r="F24" s="2"/>
      <c r="G24" s="2"/>
      <c r="H24" s="2"/>
      <c r="I24" s="6"/>
      <c r="J24" s="865"/>
      <c r="K24" s="866"/>
      <c r="L24" s="50">
        <v>3</v>
      </c>
      <c r="M24" s="84">
        <v>2881</v>
      </c>
      <c r="N24" s="84">
        <v>3060</v>
      </c>
      <c r="O24" s="84">
        <v>3108</v>
      </c>
      <c r="P24" s="84">
        <v>3172</v>
      </c>
      <c r="Q24" s="84">
        <v>3248</v>
      </c>
      <c r="R24" s="84">
        <v>2466</v>
      </c>
      <c r="S24" s="84">
        <v>2899</v>
      </c>
      <c r="T24" s="84">
        <v>2728</v>
      </c>
      <c r="U24" s="84">
        <v>2877</v>
      </c>
      <c r="V24" s="84">
        <v>2182</v>
      </c>
      <c r="W24" s="84">
        <v>3461</v>
      </c>
      <c r="X24" s="92">
        <v>3738</v>
      </c>
      <c r="Y24" s="86">
        <v>3663</v>
      </c>
      <c r="Z24" s="87">
        <v>3700</v>
      </c>
      <c r="AA24" s="87">
        <v>3589</v>
      </c>
      <c r="AB24" s="88">
        <v>3625</v>
      </c>
      <c r="AC24" s="84">
        <v>3661</v>
      </c>
      <c r="AD24" s="92">
        <v>3588</v>
      </c>
      <c r="AE24" s="89">
        <v>3624</v>
      </c>
      <c r="AF24" s="89">
        <v>3660</v>
      </c>
      <c r="AG24" s="90">
        <v>3696</v>
      </c>
      <c r="AH24" s="90">
        <v>3733</v>
      </c>
    </row>
    <row r="25" spans="1:34" outlineLevel="1">
      <c r="A25" s="1"/>
      <c r="B25" s="1"/>
      <c r="C25" s="1"/>
      <c r="D25" s="1"/>
      <c r="E25" s="2"/>
      <c r="F25" s="2"/>
      <c r="G25" s="2"/>
      <c r="H25" s="2"/>
      <c r="I25" s="6"/>
      <c r="J25" s="866"/>
      <c r="K25" s="95" t="s">
        <v>37</v>
      </c>
      <c r="L25" s="96" t="s">
        <v>36</v>
      </c>
      <c r="M25" s="97"/>
      <c r="N25" s="97"/>
      <c r="O25" s="97"/>
      <c r="P25" s="97"/>
      <c r="Q25" s="97">
        <v>284</v>
      </c>
      <c r="R25" s="97">
        <v>129</v>
      </c>
      <c r="S25" s="97">
        <v>22</v>
      </c>
      <c r="T25" s="97">
        <v>298</v>
      </c>
      <c r="U25" s="97">
        <v>133</v>
      </c>
      <c r="V25" s="97">
        <v>287</v>
      </c>
      <c r="W25" s="97">
        <v>329</v>
      </c>
      <c r="X25" s="98">
        <v>352</v>
      </c>
      <c r="Y25" s="97">
        <v>380</v>
      </c>
      <c r="Z25" s="99">
        <v>388</v>
      </c>
      <c r="AA25" s="99">
        <v>392</v>
      </c>
      <c r="AB25" s="97">
        <v>400</v>
      </c>
      <c r="AC25" s="97">
        <v>411</v>
      </c>
      <c r="AD25" s="98">
        <v>424</v>
      </c>
      <c r="AE25" s="97">
        <v>420</v>
      </c>
      <c r="AF25" s="99">
        <v>428</v>
      </c>
      <c r="AG25" s="100">
        <v>441</v>
      </c>
      <c r="AH25" s="100">
        <v>432</v>
      </c>
    </row>
    <row r="26" spans="1:34" outlineLevel="1">
      <c r="A26" s="1"/>
      <c r="B26" s="1"/>
      <c r="C26" s="1"/>
      <c r="D26" s="1"/>
      <c r="E26" s="2"/>
      <c r="F26" s="2"/>
      <c r="G26" s="2"/>
      <c r="H26" s="2"/>
      <c r="I26" s="6"/>
      <c r="J26" s="101"/>
      <c r="K26" s="881" t="s">
        <v>38</v>
      </c>
      <c r="L26" s="870"/>
      <c r="M26" s="80">
        <f t="shared" ref="M26:P26" si="8">SUM(M19:M24)</f>
        <v>57073</v>
      </c>
      <c r="N26" s="80">
        <f t="shared" si="8"/>
        <v>51189</v>
      </c>
      <c r="O26" s="80">
        <f t="shared" si="8"/>
        <v>51962</v>
      </c>
      <c r="P26" s="80">
        <f t="shared" si="8"/>
        <v>54818</v>
      </c>
      <c r="Q26" s="80">
        <f t="shared" ref="Q26:AH26" si="9">SUM(Q19:Q25)</f>
        <v>58531</v>
      </c>
      <c r="R26" s="80">
        <f t="shared" si="9"/>
        <v>44255</v>
      </c>
      <c r="S26" s="80">
        <f t="shared" si="9"/>
        <v>49300</v>
      </c>
      <c r="T26" s="80">
        <f t="shared" si="9"/>
        <v>49157</v>
      </c>
      <c r="U26" s="80">
        <f t="shared" si="9"/>
        <v>54474</v>
      </c>
      <c r="V26" s="80">
        <f t="shared" si="9"/>
        <v>53199</v>
      </c>
      <c r="W26" s="80">
        <f t="shared" si="9"/>
        <v>63288</v>
      </c>
      <c r="X26" s="102">
        <f t="shared" si="9"/>
        <v>71013</v>
      </c>
      <c r="Y26" s="80">
        <f t="shared" si="9"/>
        <v>69177</v>
      </c>
      <c r="Z26" s="79">
        <f t="shared" si="9"/>
        <v>70686</v>
      </c>
      <c r="AA26" s="80">
        <f t="shared" si="9"/>
        <v>72692</v>
      </c>
      <c r="AB26" s="80">
        <f t="shared" si="9"/>
        <v>74789</v>
      </c>
      <c r="AC26" s="80">
        <f t="shared" si="9"/>
        <v>76936</v>
      </c>
      <c r="AD26" s="102">
        <f t="shared" si="9"/>
        <v>75834</v>
      </c>
      <c r="AE26" s="80">
        <f t="shared" si="9"/>
        <v>77291</v>
      </c>
      <c r="AF26" s="80">
        <f t="shared" si="9"/>
        <v>78789</v>
      </c>
      <c r="AG26" s="103">
        <f t="shared" si="9"/>
        <v>80230</v>
      </c>
      <c r="AH26" s="103">
        <f t="shared" si="9"/>
        <v>80963</v>
      </c>
    </row>
    <row r="27" spans="1:34">
      <c r="A27" s="1"/>
      <c r="B27" s="1"/>
      <c r="C27" s="1"/>
      <c r="D27" s="1"/>
      <c r="E27" s="2"/>
      <c r="F27" s="2"/>
      <c r="G27" s="2"/>
      <c r="H27" s="2"/>
      <c r="I27" s="6"/>
      <c r="J27" s="73"/>
      <c r="K27" s="73"/>
      <c r="L27" s="73"/>
      <c r="M27" s="104"/>
      <c r="N27" s="104"/>
      <c r="O27" s="104"/>
      <c r="P27" s="104"/>
      <c r="Q27" s="104"/>
      <c r="R27" s="104"/>
      <c r="S27" s="104"/>
      <c r="T27" s="104"/>
      <c r="U27" s="104"/>
      <c r="V27" s="67">
        <f t="shared" ref="V27:AH27" si="10">SUM(V19:V24)</f>
        <v>52912</v>
      </c>
      <c r="W27" s="67">
        <f t="shared" si="10"/>
        <v>62959</v>
      </c>
      <c r="X27" s="67">
        <f t="shared" si="10"/>
        <v>70661</v>
      </c>
      <c r="Y27" s="67">
        <f t="shared" si="10"/>
        <v>68797</v>
      </c>
      <c r="Z27" s="67">
        <f t="shared" si="10"/>
        <v>70298</v>
      </c>
      <c r="AA27" s="67">
        <f t="shared" si="10"/>
        <v>72300</v>
      </c>
      <c r="AB27" s="67">
        <f t="shared" si="10"/>
        <v>74389</v>
      </c>
      <c r="AC27" s="67">
        <f t="shared" si="10"/>
        <v>76525</v>
      </c>
      <c r="AD27" s="67">
        <f t="shared" si="10"/>
        <v>75410</v>
      </c>
      <c r="AE27" s="67">
        <f t="shared" si="10"/>
        <v>76871</v>
      </c>
      <c r="AF27" s="67">
        <f t="shared" si="10"/>
        <v>78361</v>
      </c>
      <c r="AG27" s="105">
        <f t="shared" si="10"/>
        <v>79789</v>
      </c>
      <c r="AH27" s="105">
        <f t="shared" si="10"/>
        <v>80531</v>
      </c>
    </row>
    <row r="28" spans="1:34">
      <c r="A28" s="1"/>
      <c r="B28" s="1"/>
      <c r="C28" s="1"/>
      <c r="D28" s="1"/>
      <c r="E28" s="2"/>
      <c r="F28" s="2"/>
      <c r="G28" s="2"/>
      <c r="H28" s="2"/>
      <c r="I28" s="6"/>
      <c r="J28" s="73"/>
      <c r="K28" s="73"/>
      <c r="L28" s="73"/>
      <c r="AG28" s="4"/>
      <c r="AH28" s="4"/>
    </row>
    <row r="29" spans="1:34" ht="15.75" customHeight="1" outlineLevel="1">
      <c r="A29" s="106" t="s">
        <v>45</v>
      </c>
      <c r="B29" s="106" t="s">
        <v>46</v>
      </c>
      <c r="C29" s="107" t="s">
        <v>47</v>
      </c>
      <c r="D29" s="106" t="s">
        <v>48</v>
      </c>
      <c r="E29" s="106" t="s">
        <v>52</v>
      </c>
      <c r="F29" s="108" t="s">
        <v>53</v>
      </c>
      <c r="G29" s="109" t="s">
        <v>50</v>
      </c>
      <c r="I29" s="6"/>
      <c r="J29" s="882" t="s">
        <v>51</v>
      </c>
      <c r="K29" s="879"/>
      <c r="L29" s="860"/>
      <c r="M29" s="110" t="s">
        <v>14</v>
      </c>
      <c r="N29" s="110" t="s">
        <v>15</v>
      </c>
      <c r="O29" s="110" t="s">
        <v>16</v>
      </c>
      <c r="P29" s="110" t="s">
        <v>17</v>
      </c>
      <c r="Q29" s="110" t="s">
        <v>18</v>
      </c>
      <c r="R29" s="110" t="s">
        <v>19</v>
      </c>
      <c r="S29" s="110" t="s">
        <v>20</v>
      </c>
      <c r="T29" s="110" t="s">
        <v>21</v>
      </c>
      <c r="U29" s="110" t="s">
        <v>22</v>
      </c>
      <c r="V29" s="110" t="s">
        <v>23</v>
      </c>
      <c r="W29" s="110" t="s">
        <v>24</v>
      </c>
      <c r="X29" s="111" t="s">
        <v>25</v>
      </c>
      <c r="Y29" s="110" t="s">
        <v>26</v>
      </c>
      <c r="Z29" s="110" t="s">
        <v>15</v>
      </c>
      <c r="AA29" s="110" t="s">
        <v>16</v>
      </c>
      <c r="AB29" s="110" t="s">
        <v>17</v>
      </c>
      <c r="AC29" s="110" t="s">
        <v>18</v>
      </c>
      <c r="AD29" s="111" t="s">
        <v>19</v>
      </c>
      <c r="AE29" s="112" t="s">
        <v>20</v>
      </c>
      <c r="AF29" s="113" t="s">
        <v>21</v>
      </c>
      <c r="AG29" s="113" t="s">
        <v>22</v>
      </c>
      <c r="AH29" s="113" t="s">
        <v>23</v>
      </c>
    </row>
    <row r="30" spans="1:34" ht="15.75" customHeight="1" outlineLevel="1">
      <c r="A30" s="106">
        <v>39459</v>
      </c>
      <c r="B30" s="106">
        <v>10</v>
      </c>
      <c r="C30" s="106">
        <v>1408</v>
      </c>
      <c r="D30" s="106">
        <v>1</v>
      </c>
      <c r="E30" s="118">
        <v>1219</v>
      </c>
      <c r="F30" s="114">
        <f t="shared" ref="F30:F36" si="11">A30+B30+C30+D30+E30</f>
        <v>42097</v>
      </c>
      <c r="G30" s="106">
        <f t="shared" ref="G30:G36" si="12">F30-(X19/31*11)</f>
        <v>39068.806451612902</v>
      </c>
      <c r="H30" s="67">
        <f t="shared" ref="H30:H36" si="13">X30-G30</f>
        <v>-133.80645161290158</v>
      </c>
      <c r="I30" s="6"/>
      <c r="J30" s="876" t="s">
        <v>51</v>
      </c>
      <c r="K30" s="883" t="s">
        <v>27</v>
      </c>
      <c r="L30" s="115">
        <v>1</v>
      </c>
      <c r="M30" s="116">
        <v>30844</v>
      </c>
      <c r="N30" s="117">
        <v>20669</v>
      </c>
      <c r="O30" s="117">
        <v>17050</v>
      </c>
      <c r="P30" s="117">
        <v>13685</v>
      </c>
      <c r="Q30" s="117">
        <v>10623</v>
      </c>
      <c r="R30" s="117">
        <v>3902</v>
      </c>
      <c r="S30" s="117">
        <v>9601</v>
      </c>
      <c r="T30" s="117">
        <v>3607</v>
      </c>
      <c r="U30" s="117">
        <v>39061</v>
      </c>
      <c r="V30" s="117">
        <v>42442</v>
      </c>
      <c r="W30" s="117">
        <v>47469</v>
      </c>
      <c r="X30" s="119">
        <f t="shared" ref="X30:AH30" si="14">W30+X6-X19</f>
        <v>38935</v>
      </c>
      <c r="Y30" s="116">
        <f t="shared" si="14"/>
        <v>30743</v>
      </c>
      <c r="Z30" s="116">
        <f t="shared" si="14"/>
        <v>22387</v>
      </c>
      <c r="AA30" s="116">
        <f t="shared" si="14"/>
        <v>26452</v>
      </c>
      <c r="AB30" s="116">
        <f t="shared" si="14"/>
        <v>17673</v>
      </c>
      <c r="AC30" s="117">
        <f t="shared" si="14"/>
        <v>14967</v>
      </c>
      <c r="AD30" s="119">
        <f t="shared" si="14"/>
        <v>25204</v>
      </c>
      <c r="AE30" s="116">
        <f t="shared" si="14"/>
        <v>16258</v>
      </c>
      <c r="AF30" s="116">
        <f t="shared" si="14"/>
        <v>7133</v>
      </c>
      <c r="AG30" s="120">
        <f t="shared" si="14"/>
        <v>-2084</v>
      </c>
      <c r="AH30" s="120">
        <f t="shared" si="14"/>
        <v>-11116</v>
      </c>
    </row>
    <row r="31" spans="1:34" ht="15.75" customHeight="1" outlineLevel="1">
      <c r="A31" s="106">
        <v>24163</v>
      </c>
      <c r="B31" s="106">
        <v>136</v>
      </c>
      <c r="C31" s="106">
        <v>2452</v>
      </c>
      <c r="D31" s="106">
        <v>165</v>
      </c>
      <c r="E31" s="7">
        <v>432</v>
      </c>
      <c r="F31" s="114">
        <f t="shared" si="11"/>
        <v>27348</v>
      </c>
      <c r="G31" s="106">
        <f t="shared" si="12"/>
        <v>25849.870967741936</v>
      </c>
      <c r="H31" s="67">
        <f t="shared" si="13"/>
        <v>226.1290322580644</v>
      </c>
      <c r="I31" s="6"/>
      <c r="J31" s="865"/>
      <c r="K31" s="884"/>
      <c r="L31" s="115">
        <v>2</v>
      </c>
      <c r="M31" s="116">
        <v>36898</v>
      </c>
      <c r="N31" s="117">
        <v>36258</v>
      </c>
      <c r="O31" s="117">
        <v>30555</v>
      </c>
      <c r="P31" s="117">
        <v>29714</v>
      </c>
      <c r="Q31" s="117">
        <v>20343</v>
      </c>
      <c r="R31" s="117">
        <v>0</v>
      </c>
      <c r="S31" s="117">
        <v>6194</v>
      </c>
      <c r="T31" s="117">
        <v>9670</v>
      </c>
      <c r="U31" s="117">
        <v>14884</v>
      </c>
      <c r="V31" s="117">
        <v>10629</v>
      </c>
      <c r="W31" s="117">
        <v>23526</v>
      </c>
      <c r="X31" s="119">
        <f t="shared" ref="X31:AH31" si="15">W31+X7-X20</f>
        <v>26076</v>
      </c>
      <c r="Y31" s="116">
        <f t="shared" si="15"/>
        <v>22023</v>
      </c>
      <c r="Z31" s="116">
        <f t="shared" si="15"/>
        <v>17889</v>
      </c>
      <c r="AA31" s="116">
        <f t="shared" si="15"/>
        <v>13672</v>
      </c>
      <c r="AB31" s="116">
        <f t="shared" si="15"/>
        <v>9413</v>
      </c>
      <c r="AC31" s="117">
        <f t="shared" si="15"/>
        <v>11362</v>
      </c>
      <c r="AD31" s="119">
        <f t="shared" si="15"/>
        <v>13486</v>
      </c>
      <c r="AE31" s="116">
        <f t="shared" si="15"/>
        <v>9190</v>
      </c>
      <c r="AF31" s="116">
        <f t="shared" si="15"/>
        <v>4808</v>
      </c>
      <c r="AG31" s="120">
        <f t="shared" si="15"/>
        <v>339</v>
      </c>
      <c r="AH31" s="120">
        <f t="shared" si="15"/>
        <v>-4041</v>
      </c>
    </row>
    <row r="32" spans="1:34" ht="15.75" customHeight="1" outlineLevel="1">
      <c r="A32" s="106">
        <v>8799</v>
      </c>
      <c r="B32" s="106">
        <v>286</v>
      </c>
      <c r="C32" s="106">
        <v>1020</v>
      </c>
      <c r="D32" s="106">
        <v>198</v>
      </c>
      <c r="E32" s="7">
        <v>0</v>
      </c>
      <c r="F32" s="114">
        <f t="shared" si="11"/>
        <v>10303</v>
      </c>
      <c r="G32" s="106">
        <f t="shared" si="12"/>
        <v>9909.8387096774186</v>
      </c>
      <c r="H32" s="67">
        <f t="shared" si="13"/>
        <v>-195.83870967741859</v>
      </c>
      <c r="I32" s="6"/>
      <c r="J32" s="865"/>
      <c r="K32" s="885"/>
      <c r="L32" s="121">
        <v>3</v>
      </c>
      <c r="M32" s="116">
        <v>9504</v>
      </c>
      <c r="N32" s="117">
        <v>13528</v>
      </c>
      <c r="O32" s="117">
        <v>11315</v>
      </c>
      <c r="P32" s="117">
        <v>9370</v>
      </c>
      <c r="Q32" s="117">
        <v>5587</v>
      </c>
      <c r="R32" s="117">
        <v>3807</v>
      </c>
      <c r="S32" s="117">
        <v>2641</v>
      </c>
      <c r="T32" s="117">
        <v>1780</v>
      </c>
      <c r="U32" s="117">
        <v>7358</v>
      </c>
      <c r="V32" s="117">
        <v>5628</v>
      </c>
      <c r="W32" s="117">
        <v>5062</v>
      </c>
      <c r="X32" s="119">
        <f t="shared" ref="X32:AH32" si="16">W32+X8-X21</f>
        <v>9714</v>
      </c>
      <c r="Y32" s="116">
        <f t="shared" si="16"/>
        <v>8640</v>
      </c>
      <c r="Z32" s="116">
        <f t="shared" si="16"/>
        <v>7555</v>
      </c>
      <c r="AA32" s="116">
        <f t="shared" si="16"/>
        <v>6459</v>
      </c>
      <c r="AB32" s="116">
        <f t="shared" si="16"/>
        <v>5352</v>
      </c>
      <c r="AC32" s="117">
        <f t="shared" si="16"/>
        <v>4234</v>
      </c>
      <c r="AD32" s="119">
        <f t="shared" si="16"/>
        <v>3138</v>
      </c>
      <c r="AE32" s="116">
        <f t="shared" si="16"/>
        <v>2031</v>
      </c>
      <c r="AF32" s="116">
        <f t="shared" si="16"/>
        <v>913</v>
      </c>
      <c r="AG32" s="120">
        <f t="shared" si="16"/>
        <v>-216</v>
      </c>
      <c r="AH32" s="120">
        <f t="shared" si="16"/>
        <v>-1311</v>
      </c>
    </row>
    <row r="33" spans="1:34" ht="15.75" customHeight="1" outlineLevel="1">
      <c r="A33" s="122">
        <v>17071</v>
      </c>
      <c r="B33" s="106">
        <v>0</v>
      </c>
      <c r="C33" s="106">
        <v>1760</v>
      </c>
      <c r="D33" s="106">
        <v>0</v>
      </c>
      <c r="E33" s="118">
        <v>1387</v>
      </c>
      <c r="F33" s="114">
        <f t="shared" si="11"/>
        <v>20218</v>
      </c>
      <c r="G33" s="106">
        <f t="shared" si="12"/>
        <v>7556.645161290322</v>
      </c>
      <c r="H33" s="67">
        <f t="shared" si="13"/>
        <v>-1588.645161290322</v>
      </c>
      <c r="I33" s="6"/>
      <c r="J33" s="865"/>
      <c r="K33" s="886" t="s">
        <v>32</v>
      </c>
      <c r="L33" s="123">
        <v>1</v>
      </c>
      <c r="M33" s="116">
        <v>30317</v>
      </c>
      <c r="N33" s="117">
        <v>28612</v>
      </c>
      <c r="O33" s="117">
        <v>34273</v>
      </c>
      <c r="P33" s="117">
        <v>12108</v>
      </c>
      <c r="Q33" s="117">
        <v>47968</v>
      </c>
      <c r="R33" s="117">
        <v>45113</v>
      </c>
      <c r="S33" s="117">
        <v>49297</v>
      </c>
      <c r="T33" s="117">
        <v>28221</v>
      </c>
      <c r="U33" s="117">
        <v>42865</v>
      </c>
      <c r="V33" s="117">
        <v>38482</v>
      </c>
      <c r="W33" s="117">
        <v>23218</v>
      </c>
      <c r="X33" s="119">
        <f t="shared" ref="X33:AH33" si="17">W33+X9-X22</f>
        <v>5968</v>
      </c>
      <c r="Y33" s="116">
        <f t="shared" si="17"/>
        <v>51316</v>
      </c>
      <c r="Z33" s="116">
        <f t="shared" si="17"/>
        <v>36364</v>
      </c>
      <c r="AA33" s="116">
        <f t="shared" si="17"/>
        <v>48001</v>
      </c>
      <c r="AB33" s="116">
        <f t="shared" si="17"/>
        <v>38963</v>
      </c>
      <c r="AC33" s="117">
        <f t="shared" si="17"/>
        <v>76802</v>
      </c>
      <c r="AD33" s="119">
        <f t="shared" si="17"/>
        <v>96596</v>
      </c>
      <c r="AE33" s="116">
        <f t="shared" si="17"/>
        <v>58034</v>
      </c>
      <c r="AF33" s="116">
        <f t="shared" si="17"/>
        <v>18701</v>
      </c>
      <c r="AG33" s="120">
        <f t="shared" si="17"/>
        <v>-21419</v>
      </c>
      <c r="AH33" s="120">
        <f t="shared" si="17"/>
        <v>-62341</v>
      </c>
    </row>
    <row r="34" spans="1:34" ht="15.75" customHeight="1" outlineLevel="1">
      <c r="A34" s="122">
        <v>31105</v>
      </c>
      <c r="B34" s="124">
        <v>0</v>
      </c>
      <c r="C34" s="125">
        <v>2352</v>
      </c>
      <c r="D34" s="106">
        <v>5</v>
      </c>
      <c r="E34" s="7">
        <v>899</v>
      </c>
      <c r="F34" s="114">
        <f t="shared" si="11"/>
        <v>34361</v>
      </c>
      <c r="G34" s="106">
        <f t="shared" si="12"/>
        <v>28194.967741935485</v>
      </c>
      <c r="H34" s="67">
        <f t="shared" si="13"/>
        <v>1077.0322580645152</v>
      </c>
      <c r="I34" s="6"/>
      <c r="J34" s="865"/>
      <c r="K34" s="884"/>
      <c r="L34" s="123">
        <v>2</v>
      </c>
      <c r="M34" s="116">
        <v>44579</v>
      </c>
      <c r="N34" s="117">
        <v>33292</v>
      </c>
      <c r="O34" s="117">
        <v>36167</v>
      </c>
      <c r="P34" s="117">
        <v>26193</v>
      </c>
      <c r="Q34" s="117">
        <v>43047</v>
      </c>
      <c r="R34" s="117">
        <v>51471</v>
      </c>
      <c r="S34" s="117">
        <v>39515</v>
      </c>
      <c r="T34" s="117">
        <v>33519</v>
      </c>
      <c r="U34" s="117">
        <v>18531</v>
      </c>
      <c r="V34" s="117">
        <v>6669</v>
      </c>
      <c r="W34" s="117">
        <v>37433</v>
      </c>
      <c r="X34" s="119">
        <f t="shared" ref="X34:AH34" si="18">W34+X10-X23</f>
        <v>29272</v>
      </c>
      <c r="Y34" s="116">
        <f t="shared" si="18"/>
        <v>38285</v>
      </c>
      <c r="Z34" s="116">
        <f t="shared" si="18"/>
        <v>32086</v>
      </c>
      <c r="AA34" s="116">
        <f t="shared" si="18"/>
        <v>38554</v>
      </c>
      <c r="AB34" s="116">
        <f t="shared" si="18"/>
        <v>30525</v>
      </c>
      <c r="AC34" s="117">
        <f t="shared" si="18"/>
        <v>37665</v>
      </c>
      <c r="AD34" s="119">
        <f t="shared" si="18"/>
        <v>52288</v>
      </c>
      <c r="AE34" s="116">
        <f t="shared" si="18"/>
        <v>31952</v>
      </c>
      <c r="AF34" s="116">
        <f t="shared" si="18"/>
        <v>11209</v>
      </c>
      <c r="AG34" s="120">
        <f t="shared" si="18"/>
        <v>-9949</v>
      </c>
      <c r="AH34" s="120">
        <f t="shared" si="18"/>
        <v>-31318</v>
      </c>
    </row>
    <row r="35" spans="1:34" ht="15.75" customHeight="1" outlineLevel="1">
      <c r="A35" s="106">
        <v>6193</v>
      </c>
      <c r="B35" s="124">
        <v>115</v>
      </c>
      <c r="C35" s="125">
        <v>1788</v>
      </c>
      <c r="D35" s="106">
        <v>7</v>
      </c>
      <c r="E35" s="7">
        <v>0</v>
      </c>
      <c r="F35" s="114">
        <f t="shared" si="11"/>
        <v>8103</v>
      </c>
      <c r="G35" s="106">
        <f t="shared" si="12"/>
        <v>6776.6129032258068</v>
      </c>
      <c r="H35" s="67">
        <f t="shared" si="13"/>
        <v>-47.612903225806804</v>
      </c>
      <c r="I35" s="6"/>
      <c r="J35" s="865"/>
      <c r="K35" s="885"/>
      <c r="L35" s="126">
        <v>3</v>
      </c>
      <c r="M35" s="116">
        <v>16866</v>
      </c>
      <c r="N35" s="117">
        <v>13727</v>
      </c>
      <c r="O35" s="117">
        <v>19729</v>
      </c>
      <c r="P35" s="117">
        <v>16406</v>
      </c>
      <c r="Q35" s="117">
        <v>12636</v>
      </c>
      <c r="R35" s="117">
        <v>18546</v>
      </c>
      <c r="S35" s="117">
        <v>16659</v>
      </c>
      <c r="T35" s="117">
        <v>14687</v>
      </c>
      <c r="U35" s="117">
        <v>11366</v>
      </c>
      <c r="V35" s="117">
        <v>8797</v>
      </c>
      <c r="W35" s="117">
        <v>10467</v>
      </c>
      <c r="X35" s="119">
        <f t="shared" ref="X35:AH35" si="19">W35+X11-X24</f>
        <v>6729</v>
      </c>
      <c r="Y35" s="116">
        <f t="shared" si="19"/>
        <v>5490</v>
      </c>
      <c r="Z35" s="116">
        <f t="shared" si="19"/>
        <v>1790</v>
      </c>
      <c r="AA35" s="116">
        <f t="shared" si="19"/>
        <v>5721</v>
      </c>
      <c r="AB35" s="116">
        <f t="shared" si="19"/>
        <v>6320</v>
      </c>
      <c r="AC35" s="117">
        <f t="shared" si="19"/>
        <v>9955</v>
      </c>
      <c r="AD35" s="119">
        <f t="shared" si="19"/>
        <v>6367</v>
      </c>
      <c r="AE35" s="116">
        <f t="shared" si="19"/>
        <v>2743</v>
      </c>
      <c r="AF35" s="116">
        <f t="shared" si="19"/>
        <v>-917</v>
      </c>
      <c r="AG35" s="120">
        <f t="shared" si="19"/>
        <v>-4613</v>
      </c>
      <c r="AH35" s="120">
        <f t="shared" si="19"/>
        <v>-8346</v>
      </c>
    </row>
    <row r="36" spans="1:34" ht="15.75" customHeight="1" outlineLevel="1">
      <c r="A36" s="106"/>
      <c r="B36" s="124"/>
      <c r="C36" s="125"/>
      <c r="D36" s="106"/>
      <c r="F36" s="114">
        <f t="shared" si="11"/>
        <v>0</v>
      </c>
      <c r="G36" s="106">
        <f t="shared" si="12"/>
        <v>-124.90322580645162</v>
      </c>
      <c r="H36" s="67">
        <f t="shared" si="13"/>
        <v>33795.903225806454</v>
      </c>
      <c r="I36" s="6"/>
      <c r="J36" s="865"/>
      <c r="K36" s="60" t="s">
        <v>37</v>
      </c>
      <c r="L36" s="59" t="s">
        <v>36</v>
      </c>
      <c r="M36" s="116"/>
      <c r="N36" s="116"/>
      <c r="O36" s="116"/>
      <c r="P36" s="116">
        <f>O36+P12-P25</f>
        <v>6912</v>
      </c>
      <c r="Q36" s="116">
        <v>45869</v>
      </c>
      <c r="R36" s="116">
        <v>11717</v>
      </c>
      <c r="S36" s="116">
        <v>11671</v>
      </c>
      <c r="T36" s="116">
        <v>11347</v>
      </c>
      <c r="U36" s="116">
        <v>22844</v>
      </c>
      <c r="V36" s="116">
        <v>34353</v>
      </c>
      <c r="W36" s="116">
        <v>34023</v>
      </c>
      <c r="X36" s="119">
        <f t="shared" ref="X36:AH36" si="20">W36+X12-X25</f>
        <v>33671</v>
      </c>
      <c r="Y36" s="116">
        <f t="shared" si="20"/>
        <v>33291</v>
      </c>
      <c r="Z36" s="116">
        <f t="shared" si="20"/>
        <v>32903</v>
      </c>
      <c r="AA36" s="116">
        <f t="shared" si="20"/>
        <v>32511</v>
      </c>
      <c r="AB36" s="116">
        <f t="shared" si="20"/>
        <v>32111</v>
      </c>
      <c r="AC36" s="116">
        <f t="shared" si="20"/>
        <v>31700</v>
      </c>
      <c r="AD36" s="119">
        <f t="shared" si="20"/>
        <v>31276</v>
      </c>
      <c r="AE36" s="116">
        <f t="shared" si="20"/>
        <v>30856</v>
      </c>
      <c r="AF36" s="116">
        <f t="shared" si="20"/>
        <v>30428</v>
      </c>
      <c r="AG36" s="120">
        <f t="shared" si="20"/>
        <v>29987</v>
      </c>
      <c r="AH36" s="120">
        <f t="shared" si="20"/>
        <v>29555</v>
      </c>
    </row>
    <row r="37" spans="1:34" ht="15" outlineLevel="1">
      <c r="A37" s="128"/>
      <c r="B37" s="128"/>
      <c r="C37" s="128"/>
      <c r="D37" s="128"/>
      <c r="E37" s="129"/>
      <c r="F37" s="129"/>
      <c r="G37" s="129"/>
      <c r="H37" s="129"/>
      <c r="I37" s="6"/>
      <c r="J37" s="130"/>
      <c r="K37" s="874" t="s">
        <v>38</v>
      </c>
      <c r="L37" s="870"/>
      <c r="M37" s="131">
        <f t="shared" ref="M37:P37" si="21">SUM(M30:M35)</f>
        <v>169008</v>
      </c>
      <c r="N37" s="131">
        <f t="shared" si="21"/>
        <v>146086</v>
      </c>
      <c r="O37" s="131">
        <f t="shared" si="21"/>
        <v>149089</v>
      </c>
      <c r="P37" s="131">
        <f t="shared" si="21"/>
        <v>107476</v>
      </c>
      <c r="Q37" s="131">
        <f t="shared" ref="Q37:AH37" si="22">SUM(Q30:Q36)</f>
        <v>186073</v>
      </c>
      <c r="R37" s="131">
        <f t="shared" si="22"/>
        <v>134556</v>
      </c>
      <c r="S37" s="131">
        <f t="shared" si="22"/>
        <v>135578</v>
      </c>
      <c r="T37" s="131">
        <f t="shared" si="22"/>
        <v>102831</v>
      </c>
      <c r="U37" s="131">
        <f t="shared" si="22"/>
        <v>156909</v>
      </c>
      <c r="V37" s="131">
        <f t="shared" si="22"/>
        <v>147000</v>
      </c>
      <c r="W37" s="131">
        <f t="shared" si="22"/>
        <v>181198</v>
      </c>
      <c r="X37" s="132">
        <f t="shared" si="22"/>
        <v>150365</v>
      </c>
      <c r="Y37" s="131">
        <f t="shared" si="22"/>
        <v>189788</v>
      </c>
      <c r="Z37" s="131">
        <f t="shared" si="22"/>
        <v>150974</v>
      </c>
      <c r="AA37" s="131">
        <f t="shared" si="22"/>
        <v>171370</v>
      </c>
      <c r="AB37" s="131">
        <f t="shared" si="22"/>
        <v>140357</v>
      </c>
      <c r="AC37" s="131">
        <f t="shared" si="22"/>
        <v>186685</v>
      </c>
      <c r="AD37" s="132">
        <f t="shared" si="22"/>
        <v>228355</v>
      </c>
      <c r="AE37" s="131">
        <f t="shared" si="22"/>
        <v>151064</v>
      </c>
      <c r="AF37" s="131">
        <f t="shared" si="22"/>
        <v>72275</v>
      </c>
      <c r="AG37" s="131">
        <f t="shared" si="22"/>
        <v>-7955</v>
      </c>
      <c r="AH37" s="131">
        <f t="shared" si="22"/>
        <v>-88918</v>
      </c>
    </row>
    <row r="38" spans="1:34" ht="15">
      <c r="A38" s="133"/>
      <c r="B38" s="133"/>
      <c r="C38" s="133"/>
      <c r="D38" s="133"/>
      <c r="E38" s="129"/>
      <c r="F38" s="106"/>
      <c r="G38" s="106"/>
      <c r="H38" s="129"/>
      <c r="I38" s="6"/>
      <c r="J38" s="129"/>
      <c r="K38" s="129"/>
      <c r="L38" s="134" t="s">
        <v>54</v>
      </c>
      <c r="M38" s="129" t="s">
        <v>55</v>
      </c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35"/>
      <c r="AH38" s="135"/>
    </row>
    <row r="39" spans="1:34" ht="15" outlineLevel="1">
      <c r="A39" s="133"/>
      <c r="B39" s="133"/>
      <c r="C39" s="128"/>
      <c r="D39" s="133"/>
      <c r="E39" s="129"/>
      <c r="F39" s="129"/>
      <c r="G39" s="129"/>
      <c r="H39" s="129"/>
      <c r="I39" s="6"/>
      <c r="J39" s="875" t="s">
        <v>56</v>
      </c>
      <c r="K39" s="862"/>
      <c r="L39" s="862"/>
      <c r="M39" s="110" t="s">
        <v>14</v>
      </c>
      <c r="N39" s="110" t="s">
        <v>15</v>
      </c>
      <c r="O39" s="110" t="s">
        <v>16</v>
      </c>
      <c r="P39" s="110" t="s">
        <v>17</v>
      </c>
      <c r="Q39" s="110" t="s">
        <v>18</v>
      </c>
      <c r="R39" s="110" t="s">
        <v>19</v>
      </c>
      <c r="S39" s="110" t="s">
        <v>20</v>
      </c>
      <c r="T39" s="110" t="s">
        <v>21</v>
      </c>
      <c r="U39" s="110" t="s">
        <v>22</v>
      </c>
      <c r="V39" s="110" t="s">
        <v>23</v>
      </c>
      <c r="W39" s="110" t="s">
        <v>24</v>
      </c>
      <c r="X39" s="111" t="s">
        <v>25</v>
      </c>
      <c r="Y39" s="110" t="s">
        <v>26</v>
      </c>
      <c r="Z39" s="110" t="s">
        <v>15</v>
      </c>
      <c r="AA39" s="110" t="s">
        <v>16</v>
      </c>
      <c r="AB39" s="110" t="s">
        <v>17</v>
      </c>
      <c r="AC39" s="110" t="s">
        <v>18</v>
      </c>
      <c r="AD39" s="111" t="s">
        <v>19</v>
      </c>
      <c r="AE39" s="113" t="s">
        <v>20</v>
      </c>
      <c r="AF39" s="113" t="s">
        <v>21</v>
      </c>
      <c r="AG39" s="113" t="s">
        <v>22</v>
      </c>
      <c r="AH39" s="113" t="s">
        <v>23</v>
      </c>
    </row>
    <row r="40" spans="1:34" ht="15" outlineLevel="1">
      <c r="A40" s="133"/>
      <c r="B40" s="133"/>
      <c r="C40" s="128"/>
      <c r="D40" s="133"/>
      <c r="E40" s="129"/>
      <c r="F40" s="129"/>
      <c r="G40" s="129"/>
      <c r="H40" s="129"/>
      <c r="I40" s="6"/>
      <c r="J40" s="876" t="s">
        <v>57</v>
      </c>
      <c r="K40" s="864" t="s">
        <v>27</v>
      </c>
      <c r="L40" s="20">
        <v>1</v>
      </c>
      <c r="M40" s="136">
        <f t="shared" ref="M40:AH40" si="23">M30/M19</f>
        <v>3.0565850758101276</v>
      </c>
      <c r="N40" s="136">
        <f t="shared" si="23"/>
        <v>2.0323500491642084</v>
      </c>
      <c r="O40" s="136">
        <f t="shared" si="23"/>
        <v>1.6348643206443572</v>
      </c>
      <c r="P40" s="136">
        <f t="shared" si="23"/>
        <v>1.2986335167963561</v>
      </c>
      <c r="Q40" s="136">
        <f t="shared" si="23"/>
        <v>0.9779966856932425</v>
      </c>
      <c r="R40" s="136">
        <f t="shared" si="23"/>
        <v>0.53415468856947301</v>
      </c>
      <c r="S40" s="136">
        <f t="shared" si="23"/>
        <v>1.1983275087368948</v>
      </c>
      <c r="T40" s="136">
        <f t="shared" si="23"/>
        <v>0.53405389398874736</v>
      </c>
      <c r="U40" s="136">
        <f t="shared" si="23"/>
        <v>4.9319444444444445</v>
      </c>
      <c r="V40" s="136">
        <f t="shared" si="23"/>
        <v>5.2152863111329566</v>
      </c>
      <c r="W40" s="136">
        <f t="shared" si="23"/>
        <v>5.7295111647555821</v>
      </c>
      <c r="X40" s="137">
        <f t="shared" si="23"/>
        <v>4.5623388797750177</v>
      </c>
      <c r="Y40" s="136">
        <f t="shared" si="23"/>
        <v>3.7528076171875</v>
      </c>
      <c r="Z40" s="136">
        <f t="shared" si="23"/>
        <v>2.6791527046433701</v>
      </c>
      <c r="AA40" s="136">
        <f t="shared" si="23"/>
        <v>3.0733124201231554</v>
      </c>
      <c r="AB40" s="136">
        <f t="shared" si="23"/>
        <v>2.0130994418498691</v>
      </c>
      <c r="AC40" s="136">
        <f t="shared" si="23"/>
        <v>1.6552753815527539</v>
      </c>
      <c r="AD40" s="137">
        <f t="shared" si="23"/>
        <v>2.8735605974233267</v>
      </c>
      <c r="AE40" s="136">
        <f t="shared" si="23"/>
        <v>1.8173485356583947</v>
      </c>
      <c r="AF40" s="136">
        <f t="shared" si="23"/>
        <v>0.78169863013698626</v>
      </c>
      <c r="AG40" s="138">
        <f t="shared" si="23"/>
        <v>-0.22610393837474232</v>
      </c>
      <c r="AH40" s="138">
        <f t="shared" si="23"/>
        <v>-1.2307351638618247</v>
      </c>
    </row>
    <row r="41" spans="1:34" ht="15" outlineLevel="1">
      <c r="A41" s="133"/>
      <c r="B41" s="133"/>
      <c r="C41" s="133"/>
      <c r="D41" s="133"/>
      <c r="E41" s="129"/>
      <c r="F41" s="129"/>
      <c r="G41" s="129"/>
      <c r="H41" s="129"/>
      <c r="I41" s="6"/>
      <c r="J41" s="865"/>
      <c r="K41" s="865"/>
      <c r="L41" s="20">
        <v>2</v>
      </c>
      <c r="M41" s="136">
        <f t="shared" ref="M41:AH41" si="24">M31/M20</f>
        <v>6.0006505122784191</v>
      </c>
      <c r="N41" s="136">
        <f t="shared" si="24"/>
        <v>5.3375533637568084</v>
      </c>
      <c r="O41" s="136">
        <f t="shared" si="24"/>
        <v>4.5912847483095414</v>
      </c>
      <c r="P41" s="136">
        <f t="shared" si="24"/>
        <v>4.4086053412462904</v>
      </c>
      <c r="Q41" s="136">
        <f t="shared" si="24"/>
        <v>3.0604784113133743</v>
      </c>
      <c r="R41" s="136">
        <f t="shared" si="24"/>
        <v>0</v>
      </c>
      <c r="S41" s="136">
        <f t="shared" si="24"/>
        <v>10.534013605442176</v>
      </c>
      <c r="T41" s="136">
        <f t="shared" si="24"/>
        <v>4.6714975845410631</v>
      </c>
      <c r="U41" s="136">
        <f t="shared" si="24"/>
        <v>5.1555247661932802</v>
      </c>
      <c r="V41" s="136">
        <f t="shared" si="24"/>
        <v>2.8993453355155481</v>
      </c>
      <c r="W41" s="136">
        <f t="shared" si="24"/>
        <v>5.9619868220983276</v>
      </c>
      <c r="X41" s="137">
        <f t="shared" si="24"/>
        <v>6.1762198010421603</v>
      </c>
      <c r="Y41" s="136">
        <f t="shared" si="24"/>
        <v>5.4337527757216879</v>
      </c>
      <c r="Z41" s="136">
        <f t="shared" si="24"/>
        <v>4.3272859216255446</v>
      </c>
      <c r="AA41" s="136">
        <f t="shared" si="24"/>
        <v>3.2421152478064976</v>
      </c>
      <c r="AB41" s="136">
        <f t="shared" si="24"/>
        <v>2.2101432261094152</v>
      </c>
      <c r="AC41" s="136">
        <f t="shared" si="24"/>
        <v>2.5899247777524503</v>
      </c>
      <c r="AD41" s="137">
        <f t="shared" si="24"/>
        <v>3.2018043684710351</v>
      </c>
      <c r="AE41" s="136">
        <f t="shared" si="24"/>
        <v>2.139199255121043</v>
      </c>
      <c r="AF41" s="136">
        <f t="shared" si="24"/>
        <v>1.0972158831583751</v>
      </c>
      <c r="AG41" s="139">
        <f t="shared" si="24"/>
        <v>7.5855896173640636E-2</v>
      </c>
      <c r="AH41" s="139">
        <f t="shared" si="24"/>
        <v>-0.92260273972602735</v>
      </c>
    </row>
    <row r="42" spans="1:34" ht="15" outlineLevel="1">
      <c r="A42" s="133"/>
      <c r="B42" s="133"/>
      <c r="C42" s="133"/>
      <c r="D42" s="133"/>
      <c r="E42" s="129"/>
      <c r="F42" s="129"/>
      <c r="G42" s="129"/>
      <c r="H42" s="129"/>
      <c r="I42" s="6"/>
      <c r="J42" s="865"/>
      <c r="K42" s="866"/>
      <c r="L42" s="20">
        <v>3</v>
      </c>
      <c r="M42" s="136">
        <f t="shared" ref="M42:AH42" si="25">M32/M21</f>
        <v>4.8121518987341769</v>
      </c>
      <c r="N42" s="136">
        <f t="shared" si="25"/>
        <v>6.4603629417382997</v>
      </c>
      <c r="O42" s="136">
        <f t="shared" si="25"/>
        <v>5.3855306996668251</v>
      </c>
      <c r="P42" s="136">
        <f t="shared" si="25"/>
        <v>4.7977470558115716</v>
      </c>
      <c r="Q42" s="136">
        <f t="shared" si="25"/>
        <v>2.9529598308668077</v>
      </c>
      <c r="R42" s="136">
        <f t="shared" si="25"/>
        <v>2.1327731092436975</v>
      </c>
      <c r="S42" s="136">
        <f t="shared" si="25"/>
        <v>1.374089490114464</v>
      </c>
      <c r="T42" s="136">
        <f t="shared" si="25"/>
        <v>1.2651030561478323</v>
      </c>
      <c r="U42" s="136">
        <f t="shared" si="25"/>
        <v>4.8664021164021163</v>
      </c>
      <c r="V42" s="136">
        <f t="shared" si="25"/>
        <v>4.8475452196382429</v>
      </c>
      <c r="W42" s="136">
        <f t="shared" si="25"/>
        <v>4.6611418047882136</v>
      </c>
      <c r="X42" s="137">
        <f t="shared" si="25"/>
        <v>8.7671480144404335</v>
      </c>
      <c r="Y42" s="136">
        <f t="shared" si="25"/>
        <v>8.044692737430168</v>
      </c>
      <c r="Z42" s="136">
        <f t="shared" si="25"/>
        <v>6.9631336405529956</v>
      </c>
      <c r="AA42" s="136">
        <f t="shared" si="25"/>
        <v>5.8932481751824817</v>
      </c>
      <c r="AB42" s="136">
        <f t="shared" si="25"/>
        <v>4.8346883468834685</v>
      </c>
      <c r="AC42" s="136">
        <f t="shared" si="25"/>
        <v>3.7871198568872986</v>
      </c>
      <c r="AD42" s="137">
        <f t="shared" si="25"/>
        <v>2.863138686131387</v>
      </c>
      <c r="AE42" s="136">
        <f t="shared" si="25"/>
        <v>1.8346883468834689</v>
      </c>
      <c r="AF42" s="136">
        <f t="shared" si="25"/>
        <v>0.81663685152057242</v>
      </c>
      <c r="AG42" s="138">
        <f t="shared" si="25"/>
        <v>-0.19131975199291409</v>
      </c>
      <c r="AH42" s="138">
        <f t="shared" si="25"/>
        <v>-1.1972602739726028</v>
      </c>
    </row>
    <row r="43" spans="1:34" ht="15" outlineLevel="1">
      <c r="A43" s="140"/>
      <c r="B43" s="140"/>
      <c r="C43" s="140"/>
      <c r="D43" s="140"/>
      <c r="E43" s="2"/>
      <c r="F43" s="2"/>
      <c r="G43" s="2"/>
      <c r="H43" s="2"/>
      <c r="I43" s="6"/>
      <c r="J43" s="865"/>
      <c r="K43" s="886" t="s">
        <v>32</v>
      </c>
      <c r="L43" s="123">
        <v>1</v>
      </c>
      <c r="M43" s="136">
        <f t="shared" ref="M43:AH43" si="26">M33/M22</f>
        <v>1.1485887478689145</v>
      </c>
      <c r="N43" s="136">
        <f t="shared" si="26"/>
        <v>1.5863827899756044</v>
      </c>
      <c r="O43" s="136">
        <f t="shared" si="26"/>
        <v>1.7515715234834159</v>
      </c>
      <c r="P43" s="136">
        <f t="shared" si="26"/>
        <v>0.55605051664753158</v>
      </c>
      <c r="Q43" s="136">
        <f t="shared" si="26"/>
        <v>1.990869096040508</v>
      </c>
      <c r="R43" s="136">
        <f t="shared" si="26"/>
        <v>2.2156573842149205</v>
      </c>
      <c r="S43" s="136">
        <f t="shared" si="26"/>
        <v>2.250490755535266</v>
      </c>
      <c r="T43" s="136">
        <f t="shared" si="26"/>
        <v>1.2658562842020276</v>
      </c>
      <c r="U43" s="136">
        <f t="shared" si="26"/>
        <v>1.7364093008182775</v>
      </c>
      <c r="V43" s="136">
        <f t="shared" si="26"/>
        <v>1.5310734463276836</v>
      </c>
      <c r="W43" s="136">
        <f t="shared" si="26"/>
        <v>0.76781639604484275</v>
      </c>
      <c r="X43" s="137">
        <f t="shared" si="26"/>
        <v>0.16725519869962446</v>
      </c>
      <c r="Y43" s="136">
        <f t="shared" si="26"/>
        <v>1.4826071882584075</v>
      </c>
      <c r="Z43" s="136">
        <f t="shared" si="26"/>
        <v>1.0300249263539543</v>
      </c>
      <c r="AA43" s="136">
        <f t="shared" si="26"/>
        <v>1.3200506008855155</v>
      </c>
      <c r="AB43" s="136">
        <f t="shared" si="26"/>
        <v>1.0402894216906071</v>
      </c>
      <c r="AC43" s="136">
        <f t="shared" si="26"/>
        <v>1.9908753920729969</v>
      </c>
      <c r="AD43" s="137">
        <f t="shared" si="26"/>
        <v>2.5550441728826114</v>
      </c>
      <c r="AE43" s="136">
        <f t="shared" si="26"/>
        <v>1.5049530626004874</v>
      </c>
      <c r="AF43" s="136">
        <f t="shared" si="26"/>
        <v>0.47545318180662549</v>
      </c>
      <c r="AG43" s="141">
        <f t="shared" si="26"/>
        <v>-0.53387337986041872</v>
      </c>
      <c r="AH43" s="141">
        <f t="shared" si="26"/>
        <v>-1.5234103904989982</v>
      </c>
    </row>
    <row r="44" spans="1:34" ht="15" outlineLevel="1">
      <c r="A44" s="1"/>
      <c r="B44" s="1"/>
      <c r="C44" s="1"/>
      <c r="D44" s="1"/>
      <c r="E44" s="2"/>
      <c r="F44" s="2"/>
      <c r="G44" s="2"/>
      <c r="H44" s="2"/>
      <c r="I44" s="6"/>
      <c r="J44" s="865"/>
      <c r="K44" s="884"/>
      <c r="L44" s="123">
        <v>2</v>
      </c>
      <c r="M44" s="136">
        <f t="shared" ref="M44:AH44" si="27">M34/M23</f>
        <v>4.6523690252556875</v>
      </c>
      <c r="N44" s="136">
        <f t="shared" si="27"/>
        <v>3.0166727075027184</v>
      </c>
      <c r="O44" s="136">
        <f t="shared" si="27"/>
        <v>3.5801821421500692</v>
      </c>
      <c r="P44" s="136">
        <f t="shared" si="27"/>
        <v>2.4617481203007521</v>
      </c>
      <c r="Q44" s="136">
        <f t="shared" si="27"/>
        <v>3.7419158553546592</v>
      </c>
      <c r="R44" s="136">
        <f t="shared" si="27"/>
        <v>5.0279378724235615</v>
      </c>
      <c r="S44" s="136">
        <f t="shared" si="27"/>
        <v>2.8322104357798166</v>
      </c>
      <c r="T44" s="136">
        <f t="shared" si="27"/>
        <v>2.4635454946347202</v>
      </c>
      <c r="U44" s="136">
        <f t="shared" si="27"/>
        <v>1.2816239020679161</v>
      </c>
      <c r="V44" s="136">
        <f t="shared" si="27"/>
        <v>0.52798669939038878</v>
      </c>
      <c r="W44" s="136">
        <f t="shared" si="27"/>
        <v>2.3480742692259442</v>
      </c>
      <c r="X44" s="137">
        <f t="shared" si="27"/>
        <v>1.6845255222420441</v>
      </c>
      <c r="Y44" s="136">
        <f t="shared" si="27"/>
        <v>2.2254839272219962</v>
      </c>
      <c r="Z44" s="136">
        <f t="shared" si="27"/>
        <v>1.8108245386308481</v>
      </c>
      <c r="AA44" s="136">
        <f t="shared" si="27"/>
        <v>2.0921423920121556</v>
      </c>
      <c r="AB44" s="136">
        <f t="shared" si="27"/>
        <v>1.5927471954082963</v>
      </c>
      <c r="AC44" s="136">
        <f t="shared" si="27"/>
        <v>1.9080547112462005</v>
      </c>
      <c r="AD44" s="137">
        <f t="shared" si="27"/>
        <v>2.6226613833575763</v>
      </c>
      <c r="AE44" s="136">
        <f t="shared" si="27"/>
        <v>1.5712037765538946</v>
      </c>
      <c r="AF44" s="136">
        <f t="shared" si="27"/>
        <v>0.54037506628742227</v>
      </c>
      <c r="AG44" s="142">
        <f t="shared" si="27"/>
        <v>-0.47022402873617541</v>
      </c>
      <c r="AH44" s="142">
        <f t="shared" si="27"/>
        <v>-1.4655809817960597</v>
      </c>
    </row>
    <row r="45" spans="1:34" ht="15" outlineLevel="1">
      <c r="A45" s="1"/>
      <c r="B45" s="1"/>
      <c r="C45" s="1"/>
      <c r="D45" s="1"/>
      <c r="E45" s="2"/>
      <c r="F45" s="2"/>
      <c r="G45" s="2"/>
      <c r="H45" s="2"/>
      <c r="I45" s="6"/>
      <c r="J45" s="865"/>
      <c r="K45" s="885"/>
      <c r="L45" s="126">
        <v>3</v>
      </c>
      <c r="M45" s="136">
        <f t="shared" ref="M45:AH45" si="28">M35/M24</f>
        <v>5.8542172856647001</v>
      </c>
      <c r="N45" s="136">
        <f t="shared" si="28"/>
        <v>4.4859477124183007</v>
      </c>
      <c r="O45" s="136">
        <f t="shared" si="28"/>
        <v>6.3478120978120982</v>
      </c>
      <c r="P45" s="136">
        <f t="shared" si="28"/>
        <v>5.1721311475409832</v>
      </c>
      <c r="Q45" s="136">
        <f t="shared" si="28"/>
        <v>3.8903940886699506</v>
      </c>
      <c r="R45" s="136">
        <f t="shared" si="28"/>
        <v>7.5206812652068127</v>
      </c>
      <c r="S45" s="136">
        <f t="shared" si="28"/>
        <v>5.7464642980338043</v>
      </c>
      <c r="T45" s="136">
        <f t="shared" si="28"/>
        <v>5.3837976539589443</v>
      </c>
      <c r="U45" s="136">
        <f t="shared" si="28"/>
        <v>3.9506430309350016</v>
      </c>
      <c r="V45" s="136">
        <f t="shared" si="28"/>
        <v>4.0316223648029332</v>
      </c>
      <c r="W45" s="136">
        <f t="shared" si="28"/>
        <v>3.0242704420687661</v>
      </c>
      <c r="X45" s="137">
        <f t="shared" si="28"/>
        <v>1.8001605136436598</v>
      </c>
      <c r="Y45" s="136">
        <f t="shared" si="28"/>
        <v>1.4987714987714988</v>
      </c>
      <c r="Z45" s="136">
        <f t="shared" si="28"/>
        <v>0.48378378378378378</v>
      </c>
      <c r="AA45" s="136">
        <f t="shared" si="28"/>
        <v>1.5940373363053775</v>
      </c>
      <c r="AB45" s="136">
        <f t="shared" si="28"/>
        <v>1.7434482758620691</v>
      </c>
      <c r="AC45" s="136">
        <f t="shared" si="28"/>
        <v>2.7192024037148319</v>
      </c>
      <c r="AD45" s="137">
        <f t="shared" si="28"/>
        <v>1.774526198439242</v>
      </c>
      <c r="AE45" s="136">
        <f t="shared" si="28"/>
        <v>0.75689845474613682</v>
      </c>
      <c r="AF45" s="136">
        <f t="shared" si="28"/>
        <v>-0.25054644808743171</v>
      </c>
      <c r="AG45" s="143">
        <f t="shared" si="28"/>
        <v>-1.2481060606060606</v>
      </c>
      <c r="AH45" s="143">
        <f t="shared" si="28"/>
        <v>-2.2357353335119208</v>
      </c>
    </row>
    <row r="46" spans="1:34" ht="15" outlineLevel="1">
      <c r="A46" s="1"/>
      <c r="B46" s="1"/>
      <c r="C46" s="1"/>
      <c r="D46" s="1"/>
      <c r="E46" s="2"/>
      <c r="F46" s="2"/>
      <c r="G46" s="2"/>
      <c r="H46" s="2"/>
      <c r="I46" s="6"/>
      <c r="J46" s="865"/>
      <c r="K46" s="60" t="s">
        <v>37</v>
      </c>
      <c r="L46" s="59" t="s">
        <v>36</v>
      </c>
      <c r="M46" s="144"/>
      <c r="N46" s="144"/>
      <c r="O46" s="144"/>
      <c r="P46" s="144"/>
      <c r="Q46" s="144"/>
      <c r="R46" s="116"/>
      <c r="S46" s="116"/>
      <c r="T46" s="116"/>
      <c r="U46" s="116"/>
      <c r="V46" s="136">
        <f t="shared" ref="V46:AH46" si="29">V36/V25</f>
        <v>119.69686411149826</v>
      </c>
      <c r="W46" s="136">
        <f t="shared" si="29"/>
        <v>103.41337386018238</v>
      </c>
      <c r="X46" s="137">
        <f t="shared" si="29"/>
        <v>95.65625</v>
      </c>
      <c r="Y46" s="136">
        <f t="shared" si="29"/>
        <v>87.607894736842098</v>
      </c>
      <c r="Z46" s="136">
        <f t="shared" si="29"/>
        <v>84.801546391752581</v>
      </c>
      <c r="AA46" s="136">
        <f t="shared" si="29"/>
        <v>82.936224489795919</v>
      </c>
      <c r="AB46" s="136">
        <f t="shared" si="29"/>
        <v>80.277500000000003</v>
      </c>
      <c r="AC46" s="136">
        <f t="shared" si="29"/>
        <v>77.128953771289531</v>
      </c>
      <c r="AD46" s="137">
        <f t="shared" si="29"/>
        <v>73.764150943396231</v>
      </c>
      <c r="AE46" s="136">
        <f t="shared" si="29"/>
        <v>73.466666666666669</v>
      </c>
      <c r="AF46" s="136">
        <f t="shared" si="29"/>
        <v>71.09345794392523</v>
      </c>
      <c r="AG46" s="143">
        <f t="shared" si="29"/>
        <v>67.997732426303855</v>
      </c>
      <c r="AH46" s="143">
        <f t="shared" si="29"/>
        <v>68.414351851851848</v>
      </c>
    </row>
    <row r="47" spans="1:34" ht="15" outlineLevel="1">
      <c r="A47" s="1"/>
      <c r="B47" s="1"/>
      <c r="C47" s="1"/>
      <c r="D47" s="1"/>
      <c r="E47" s="2"/>
      <c r="F47" s="2"/>
      <c r="G47" s="2"/>
      <c r="H47" s="2"/>
      <c r="I47" s="6"/>
      <c r="J47" s="145"/>
      <c r="K47" s="877" t="s">
        <v>38</v>
      </c>
      <c r="L47" s="870"/>
      <c r="M47" s="146">
        <f t="shared" ref="M47:P47" si="30">AVERAGE(M40:M45)</f>
        <v>4.2540937576020044</v>
      </c>
      <c r="N47" s="146">
        <f t="shared" si="30"/>
        <v>3.8198782607593231</v>
      </c>
      <c r="O47" s="146">
        <f t="shared" si="30"/>
        <v>3.8818742553443841</v>
      </c>
      <c r="P47" s="146">
        <f t="shared" si="30"/>
        <v>3.1158192830572475</v>
      </c>
      <c r="Q47" s="146">
        <f t="shared" ref="Q47:AH47" si="31">AVERAGE(Q40:Q46)</f>
        <v>2.7691023279897569</v>
      </c>
      <c r="R47" s="146">
        <f t="shared" si="31"/>
        <v>2.9052007199430769</v>
      </c>
      <c r="S47" s="146">
        <f t="shared" si="31"/>
        <v>3.9892660156070701</v>
      </c>
      <c r="T47" s="146">
        <f t="shared" si="31"/>
        <v>2.597308994578889</v>
      </c>
      <c r="U47" s="146">
        <f t="shared" si="31"/>
        <v>3.6537579268101728</v>
      </c>
      <c r="V47" s="146">
        <f t="shared" si="31"/>
        <v>19.821389069758002</v>
      </c>
      <c r="W47" s="146">
        <f t="shared" si="31"/>
        <v>17.986596394166295</v>
      </c>
      <c r="X47" s="147">
        <f t="shared" si="31"/>
        <v>16.973413989977562</v>
      </c>
      <c r="Y47" s="146">
        <f t="shared" si="31"/>
        <v>15.720858640204765</v>
      </c>
      <c r="Z47" s="146">
        <f t="shared" si="31"/>
        <v>14.585107415334724</v>
      </c>
      <c r="AA47" s="146">
        <f t="shared" si="31"/>
        <v>14.307304380301586</v>
      </c>
      <c r="AB47" s="146">
        <f t="shared" si="31"/>
        <v>13.387416558257675</v>
      </c>
      <c r="AC47" s="146">
        <f t="shared" si="31"/>
        <v>13.111343756359437</v>
      </c>
      <c r="AD47" s="147">
        <f t="shared" si="31"/>
        <v>12.807840907157344</v>
      </c>
      <c r="AE47" s="146">
        <f t="shared" si="31"/>
        <v>11.870136871175728</v>
      </c>
      <c r="AF47" s="146">
        <f t="shared" si="31"/>
        <v>10.650613015535397</v>
      </c>
      <c r="AG47" s="146">
        <f t="shared" si="31"/>
        <v>9.3434230232724538</v>
      </c>
      <c r="AH47" s="146">
        <f t="shared" si="31"/>
        <v>8.5484324240692011</v>
      </c>
    </row>
    <row r="48" spans="1:34" ht="15">
      <c r="A48" s="1"/>
      <c r="B48" s="1"/>
      <c r="C48" s="1"/>
      <c r="D48" s="1"/>
      <c r="E48" s="2"/>
      <c r="F48" s="2"/>
      <c r="G48" s="2"/>
      <c r="H48" s="2"/>
      <c r="I48" s="6"/>
      <c r="J48" s="1"/>
      <c r="K48" s="3"/>
      <c r="L48" s="3"/>
      <c r="AF48" s="4"/>
      <c r="AG48" s="4"/>
    </row>
    <row r="49" spans="3:33" ht="12.75">
      <c r="E49" s="148"/>
      <c r="F49" s="148"/>
      <c r="G49" s="148"/>
      <c r="H49" s="148"/>
      <c r="AF49" s="4"/>
      <c r="AG49" s="4"/>
    </row>
    <row r="50" spans="3:33" ht="12.75">
      <c r="E50" s="148"/>
      <c r="F50" s="148"/>
      <c r="G50" s="148"/>
      <c r="H50" s="148"/>
      <c r="AF50" s="4"/>
      <c r="AG50" s="4"/>
    </row>
    <row r="51" spans="3:33" ht="12.75">
      <c r="E51" s="148"/>
      <c r="F51" s="148"/>
      <c r="G51" s="148"/>
      <c r="H51" s="148"/>
      <c r="AF51" s="4"/>
      <c r="AG51" s="4"/>
    </row>
    <row r="52" spans="3:33" ht="14.25">
      <c r="C52" s="149"/>
      <c r="E52" s="148"/>
      <c r="F52" s="148"/>
      <c r="G52" s="148"/>
      <c r="H52" s="148"/>
      <c r="AF52" s="4"/>
      <c r="AG52" s="4"/>
    </row>
    <row r="53" spans="3:33" ht="14.25">
      <c r="C53" s="149"/>
      <c r="E53" s="148"/>
      <c r="F53" s="148"/>
      <c r="G53" s="148"/>
      <c r="H53" s="148"/>
      <c r="AF53" s="4"/>
      <c r="AG53" s="4"/>
    </row>
    <row r="54" spans="3:33" ht="14.25">
      <c r="C54" s="149"/>
      <c r="E54" s="148"/>
      <c r="F54" s="148"/>
      <c r="G54" s="148"/>
      <c r="H54" s="148"/>
      <c r="AF54" s="4"/>
      <c r="AG54" s="4"/>
    </row>
    <row r="55" spans="3:33" ht="14.25">
      <c r="C55" s="149"/>
      <c r="E55" s="148"/>
      <c r="F55" s="148"/>
      <c r="G55" s="148"/>
      <c r="H55" s="148"/>
      <c r="AF55" s="4"/>
      <c r="AG55" s="4"/>
    </row>
    <row r="56" spans="3:33" ht="12.75">
      <c r="E56" s="148"/>
      <c r="F56" s="148"/>
      <c r="G56" s="148"/>
      <c r="H56" s="148"/>
      <c r="AF56" s="4"/>
      <c r="AG56" s="4"/>
    </row>
    <row r="57" spans="3:33" ht="12.75">
      <c r="E57" s="148"/>
      <c r="F57" s="148"/>
      <c r="G57" s="148"/>
      <c r="H57" s="148"/>
      <c r="AF57" s="4"/>
      <c r="AG57" s="4"/>
    </row>
    <row r="58" spans="3:33" ht="12.75">
      <c r="E58" s="148"/>
      <c r="F58" s="148"/>
      <c r="G58" s="148"/>
      <c r="H58" s="148"/>
      <c r="AF58" s="4"/>
      <c r="AG58" s="4"/>
    </row>
    <row r="59" spans="3:33" ht="12.75">
      <c r="E59" s="148"/>
      <c r="F59" s="148"/>
      <c r="G59" s="148"/>
      <c r="H59" s="148"/>
      <c r="AF59" s="4"/>
      <c r="AG59" s="4"/>
    </row>
    <row r="60" spans="3:33" ht="12.75">
      <c r="E60" s="148"/>
      <c r="F60" s="148"/>
      <c r="G60" s="148"/>
      <c r="H60" s="148"/>
      <c r="AF60" s="4"/>
      <c r="AG60" s="4"/>
    </row>
    <row r="61" spans="3:33" ht="12.75">
      <c r="E61" s="148"/>
      <c r="F61" s="148"/>
      <c r="G61" s="148"/>
      <c r="H61" s="148"/>
      <c r="AF61" s="4"/>
      <c r="AG61" s="4"/>
    </row>
    <row r="62" spans="3:33" ht="12.75">
      <c r="E62" s="148"/>
      <c r="F62" s="148"/>
      <c r="G62" s="148"/>
      <c r="H62" s="148"/>
      <c r="AF62" s="4"/>
      <c r="AG62" s="4"/>
    </row>
    <row r="63" spans="3:33" ht="12.75">
      <c r="E63" s="148"/>
      <c r="F63" s="148"/>
      <c r="G63" s="148"/>
      <c r="H63" s="148"/>
      <c r="AF63" s="4"/>
      <c r="AG63" s="4"/>
    </row>
    <row r="64" spans="3:33" ht="12.75">
      <c r="E64" s="148"/>
      <c r="F64" s="148"/>
      <c r="G64" s="148"/>
      <c r="H64" s="148"/>
      <c r="AF64" s="4"/>
      <c r="AG64" s="4"/>
    </row>
    <row r="65" spans="5:33" ht="12.75">
      <c r="E65" s="148"/>
      <c r="F65" s="148"/>
      <c r="G65" s="148"/>
      <c r="H65" s="148"/>
      <c r="AF65" s="4"/>
      <c r="AG65" s="4"/>
    </row>
    <row r="66" spans="5:33" ht="12.75">
      <c r="E66" s="148"/>
      <c r="F66" s="148"/>
      <c r="G66" s="148"/>
      <c r="H66" s="148"/>
      <c r="AF66" s="4"/>
      <c r="AG66" s="4"/>
    </row>
    <row r="67" spans="5:33" ht="12.75">
      <c r="E67" s="148"/>
      <c r="F67" s="148"/>
      <c r="G67" s="148"/>
      <c r="H67" s="148"/>
      <c r="AF67" s="4"/>
      <c r="AG67" s="4"/>
    </row>
    <row r="68" spans="5:33" ht="12.75">
      <c r="E68" s="148"/>
      <c r="F68" s="148"/>
      <c r="G68" s="148"/>
      <c r="H68" s="148"/>
      <c r="AF68" s="4"/>
      <c r="AG68" s="4"/>
    </row>
    <row r="69" spans="5:33" ht="12.75">
      <c r="E69" s="148"/>
      <c r="F69" s="148"/>
      <c r="G69" s="148"/>
      <c r="H69" s="148"/>
      <c r="AF69" s="4"/>
      <c r="AG69" s="4"/>
    </row>
    <row r="70" spans="5:33" ht="12.75">
      <c r="E70" s="148"/>
      <c r="F70" s="148"/>
      <c r="G70" s="148"/>
      <c r="H70" s="148"/>
      <c r="AF70" s="4"/>
      <c r="AG70" s="4"/>
    </row>
    <row r="71" spans="5:33" ht="12.75">
      <c r="E71" s="148"/>
      <c r="F71" s="148"/>
      <c r="G71" s="148"/>
      <c r="H71" s="148"/>
      <c r="AF71" s="4"/>
      <c r="AG71" s="4"/>
    </row>
    <row r="72" spans="5:33" ht="12.75">
      <c r="E72" s="148"/>
      <c r="F72" s="148"/>
      <c r="G72" s="148"/>
      <c r="H72" s="148"/>
      <c r="AF72" s="4"/>
      <c r="AG72" s="4"/>
    </row>
    <row r="73" spans="5:33" ht="12.75">
      <c r="E73" s="148"/>
      <c r="F73" s="148"/>
      <c r="G73" s="148"/>
      <c r="H73" s="148"/>
      <c r="AF73" s="4"/>
      <c r="AG73" s="4"/>
    </row>
    <row r="74" spans="5:33" ht="12.75">
      <c r="E74" s="148"/>
      <c r="F74" s="148"/>
      <c r="G74" s="148"/>
      <c r="H74" s="148"/>
      <c r="AF74" s="4"/>
      <c r="AG74" s="4"/>
    </row>
    <row r="75" spans="5:33" ht="12.75">
      <c r="E75" s="148"/>
      <c r="F75" s="148"/>
      <c r="G75" s="148"/>
      <c r="H75" s="148"/>
      <c r="AF75" s="4"/>
      <c r="AG75" s="4"/>
    </row>
    <row r="76" spans="5:33" ht="12.75">
      <c r="E76" s="148"/>
      <c r="F76" s="148"/>
      <c r="G76" s="148"/>
      <c r="H76" s="148"/>
      <c r="AF76" s="4"/>
      <c r="AG76" s="4"/>
    </row>
    <row r="77" spans="5:33" ht="12.75">
      <c r="E77" s="148"/>
      <c r="F77" s="148"/>
      <c r="G77" s="148"/>
      <c r="H77" s="148"/>
      <c r="AF77" s="4"/>
      <c r="AG77" s="4"/>
    </row>
    <row r="78" spans="5:33" ht="12.75">
      <c r="E78" s="148"/>
      <c r="F78" s="148"/>
      <c r="G78" s="148"/>
      <c r="H78" s="148"/>
      <c r="AF78" s="4"/>
      <c r="AG78" s="4"/>
    </row>
    <row r="79" spans="5:33" ht="12.75">
      <c r="E79" s="148"/>
      <c r="F79" s="148"/>
      <c r="G79" s="148"/>
      <c r="H79" s="148"/>
      <c r="AF79" s="4"/>
      <c r="AG79" s="4"/>
    </row>
    <row r="80" spans="5:33" ht="12.75">
      <c r="E80" s="148"/>
      <c r="F80" s="148"/>
      <c r="G80" s="148"/>
      <c r="H80" s="148"/>
      <c r="AF80" s="4"/>
      <c r="AG80" s="4"/>
    </row>
    <row r="81" spans="5:33" ht="12.75">
      <c r="E81" s="148"/>
      <c r="F81" s="148"/>
      <c r="G81" s="148"/>
      <c r="H81" s="148"/>
      <c r="AF81" s="4"/>
      <c r="AG81" s="4"/>
    </row>
    <row r="82" spans="5:33" ht="12.75">
      <c r="E82" s="148"/>
      <c r="F82" s="148"/>
      <c r="G82" s="148"/>
      <c r="H82" s="148"/>
      <c r="AF82" s="4"/>
      <c r="AG82" s="4"/>
    </row>
    <row r="83" spans="5:33" ht="12.75">
      <c r="E83" s="148"/>
      <c r="F83" s="148"/>
      <c r="G83" s="148"/>
      <c r="H83" s="148"/>
      <c r="AF83" s="4"/>
      <c r="AG83" s="4"/>
    </row>
    <row r="84" spans="5:33" ht="12.75">
      <c r="E84" s="148"/>
      <c r="F84" s="148"/>
      <c r="G84" s="148"/>
      <c r="H84" s="148"/>
      <c r="AF84" s="4"/>
      <c r="AG84" s="4"/>
    </row>
    <row r="85" spans="5:33" ht="12.75">
      <c r="E85" s="148"/>
      <c r="F85" s="148"/>
      <c r="G85" s="148"/>
      <c r="H85" s="148"/>
      <c r="AF85" s="4"/>
      <c r="AG85" s="4"/>
    </row>
    <row r="86" spans="5:33" ht="12.75">
      <c r="E86" s="148"/>
      <c r="F86" s="148"/>
      <c r="G86" s="148"/>
      <c r="H86" s="148"/>
      <c r="AF86" s="4"/>
      <c r="AG86" s="4"/>
    </row>
    <row r="87" spans="5:33" ht="12.75">
      <c r="E87" s="148"/>
      <c r="F87" s="148"/>
      <c r="G87" s="148"/>
      <c r="H87" s="148"/>
      <c r="AF87" s="4"/>
      <c r="AG87" s="4"/>
    </row>
    <row r="88" spans="5:33" ht="12.75">
      <c r="E88" s="148"/>
      <c r="F88" s="148"/>
      <c r="G88" s="148"/>
      <c r="H88" s="148"/>
      <c r="AF88" s="4"/>
      <c r="AG88" s="4"/>
    </row>
    <row r="89" spans="5:33" ht="12.75">
      <c r="E89" s="148"/>
      <c r="F89" s="148"/>
      <c r="G89" s="148"/>
      <c r="H89" s="148"/>
      <c r="AF89" s="4"/>
      <c r="AG89" s="4"/>
    </row>
    <row r="90" spans="5:33" ht="12.75">
      <c r="E90" s="148"/>
      <c r="F90" s="148"/>
      <c r="G90" s="148"/>
      <c r="H90" s="148"/>
      <c r="AF90" s="4"/>
      <c r="AG90" s="4"/>
    </row>
    <row r="91" spans="5:33" ht="12.75">
      <c r="E91" s="148"/>
      <c r="F91" s="148"/>
      <c r="G91" s="148"/>
      <c r="H91" s="148"/>
      <c r="AF91" s="4"/>
      <c r="AG91" s="4"/>
    </row>
    <row r="92" spans="5:33" ht="12.75">
      <c r="E92" s="148"/>
      <c r="F92" s="148"/>
      <c r="G92" s="148"/>
      <c r="H92" s="148"/>
      <c r="AF92" s="4"/>
      <c r="AG92" s="4"/>
    </row>
    <row r="93" spans="5:33" ht="12.75">
      <c r="E93" s="148"/>
      <c r="F93" s="148"/>
      <c r="G93" s="148"/>
      <c r="H93" s="148"/>
      <c r="AF93" s="4"/>
      <c r="AG93" s="4"/>
    </row>
    <row r="94" spans="5:33" ht="12.75">
      <c r="E94" s="148"/>
      <c r="F94" s="148"/>
      <c r="G94" s="148"/>
      <c r="H94" s="148"/>
      <c r="AF94" s="4"/>
      <c r="AG94" s="4"/>
    </row>
    <row r="95" spans="5:33" ht="12.75">
      <c r="E95" s="148"/>
      <c r="F95" s="148"/>
      <c r="G95" s="148"/>
      <c r="H95" s="148"/>
      <c r="AF95" s="4"/>
      <c r="AG95" s="4"/>
    </row>
    <row r="96" spans="5:33" ht="12.75">
      <c r="E96" s="148"/>
      <c r="F96" s="148"/>
      <c r="G96" s="148"/>
      <c r="H96" s="148"/>
      <c r="AF96" s="4"/>
      <c r="AG96" s="4"/>
    </row>
    <row r="97" spans="5:33" ht="12.75">
      <c r="E97" s="148"/>
      <c r="F97" s="148"/>
      <c r="G97" s="148"/>
      <c r="H97" s="148"/>
      <c r="AF97" s="4"/>
      <c r="AG97" s="4"/>
    </row>
    <row r="98" spans="5:33" ht="12.75">
      <c r="E98" s="148"/>
      <c r="F98" s="148"/>
      <c r="G98" s="148"/>
      <c r="H98" s="148"/>
      <c r="AF98" s="4"/>
      <c r="AG98" s="4"/>
    </row>
    <row r="99" spans="5:33" ht="12.75">
      <c r="E99" s="148"/>
      <c r="F99" s="148"/>
      <c r="G99" s="148"/>
      <c r="H99" s="148"/>
      <c r="AF99" s="4"/>
      <c r="AG99" s="4"/>
    </row>
    <row r="100" spans="5:33" ht="12.75">
      <c r="E100" s="148"/>
      <c r="F100" s="148"/>
      <c r="G100" s="148"/>
      <c r="H100" s="148"/>
      <c r="AF100" s="4"/>
      <c r="AG100" s="4"/>
    </row>
    <row r="101" spans="5:33" ht="12.75">
      <c r="E101" s="148"/>
      <c r="F101" s="148"/>
      <c r="G101" s="148"/>
      <c r="H101" s="148"/>
      <c r="AF101" s="4"/>
      <c r="AG101" s="4"/>
    </row>
    <row r="102" spans="5:33" ht="12.75">
      <c r="E102" s="148"/>
      <c r="F102" s="148"/>
      <c r="G102" s="148"/>
      <c r="H102" s="148"/>
      <c r="AF102" s="4"/>
      <c r="AG102" s="4"/>
    </row>
    <row r="103" spans="5:33" ht="12.75">
      <c r="E103" s="148"/>
      <c r="F103" s="148"/>
      <c r="G103" s="148"/>
      <c r="H103" s="148"/>
      <c r="AF103" s="4"/>
      <c r="AG103" s="4"/>
    </row>
    <row r="104" spans="5:33" ht="12.75">
      <c r="E104" s="148"/>
      <c r="F104" s="148"/>
      <c r="G104" s="148"/>
      <c r="H104" s="148"/>
      <c r="AF104" s="4"/>
      <c r="AG104" s="4"/>
    </row>
    <row r="105" spans="5:33" ht="12.75">
      <c r="E105" s="148"/>
      <c r="F105" s="148"/>
      <c r="G105" s="148"/>
      <c r="H105" s="148"/>
      <c r="AF105" s="4"/>
      <c r="AG105" s="4"/>
    </row>
    <row r="106" spans="5:33" ht="12.75">
      <c r="E106" s="148"/>
      <c r="F106" s="148"/>
      <c r="G106" s="148"/>
      <c r="H106" s="148"/>
      <c r="AF106" s="4"/>
      <c r="AG106" s="4"/>
    </row>
    <row r="107" spans="5:33" ht="12.75">
      <c r="E107" s="148"/>
      <c r="F107" s="148"/>
      <c r="G107" s="148"/>
      <c r="H107" s="148"/>
      <c r="AF107" s="4"/>
      <c r="AG107" s="4"/>
    </row>
    <row r="108" spans="5:33" ht="12.75">
      <c r="E108" s="148"/>
      <c r="F108" s="148"/>
      <c r="G108" s="148"/>
      <c r="H108" s="148"/>
      <c r="AF108" s="4"/>
      <c r="AG108" s="4"/>
    </row>
    <row r="109" spans="5:33" ht="12.75">
      <c r="E109" s="148"/>
      <c r="F109" s="148"/>
      <c r="G109" s="148"/>
      <c r="H109" s="148"/>
      <c r="AF109" s="4"/>
      <c r="AG109" s="4"/>
    </row>
    <row r="110" spans="5:33" ht="12.75">
      <c r="E110" s="148"/>
      <c r="F110" s="148"/>
      <c r="G110" s="148"/>
      <c r="H110" s="148"/>
      <c r="AF110" s="4"/>
      <c r="AG110" s="4"/>
    </row>
    <row r="111" spans="5:33" ht="12.75">
      <c r="E111" s="148"/>
      <c r="F111" s="148"/>
      <c r="G111" s="148"/>
      <c r="H111" s="148"/>
      <c r="AF111" s="4"/>
      <c r="AG111" s="4"/>
    </row>
    <row r="112" spans="5:33" ht="12.75">
      <c r="E112" s="148"/>
      <c r="F112" s="148"/>
      <c r="G112" s="148"/>
      <c r="H112" s="148"/>
      <c r="AF112" s="4"/>
      <c r="AG112" s="4"/>
    </row>
    <row r="113" spans="5:33" ht="12.75">
      <c r="E113" s="148"/>
      <c r="F113" s="148"/>
      <c r="G113" s="148"/>
      <c r="H113" s="148"/>
      <c r="AF113" s="4"/>
      <c r="AG113" s="4"/>
    </row>
    <row r="114" spans="5:33" ht="12.75">
      <c r="E114" s="148"/>
      <c r="F114" s="148"/>
      <c r="G114" s="148"/>
      <c r="H114" s="148"/>
      <c r="AF114" s="4"/>
      <c r="AG114" s="4"/>
    </row>
    <row r="115" spans="5:33" ht="12.75">
      <c r="E115" s="148"/>
      <c r="F115" s="148"/>
      <c r="G115" s="148"/>
      <c r="H115" s="148"/>
      <c r="AF115" s="4"/>
      <c r="AG115" s="4"/>
    </row>
    <row r="116" spans="5:33" ht="12.75">
      <c r="E116" s="148"/>
      <c r="F116" s="148"/>
      <c r="G116" s="148"/>
      <c r="H116" s="148"/>
      <c r="AF116" s="4"/>
      <c r="AG116" s="4"/>
    </row>
    <row r="117" spans="5:33" ht="12.75">
      <c r="E117" s="148"/>
      <c r="F117" s="148"/>
      <c r="G117" s="148"/>
      <c r="H117" s="148"/>
      <c r="AF117" s="4"/>
      <c r="AG117" s="4"/>
    </row>
    <row r="118" spans="5:33" ht="12.75">
      <c r="E118" s="148"/>
      <c r="F118" s="148"/>
      <c r="G118" s="148"/>
      <c r="H118" s="148"/>
      <c r="AF118" s="4"/>
      <c r="AG118" s="4"/>
    </row>
    <row r="119" spans="5:33" ht="12.75">
      <c r="E119" s="148"/>
      <c r="F119" s="148"/>
      <c r="G119" s="148"/>
      <c r="H119" s="148"/>
      <c r="AF119" s="4"/>
      <c r="AG119" s="4"/>
    </row>
    <row r="120" spans="5:33" ht="12.75">
      <c r="E120" s="148"/>
      <c r="F120" s="148"/>
      <c r="G120" s="148"/>
      <c r="H120" s="148"/>
      <c r="AF120" s="4"/>
      <c r="AG120" s="4"/>
    </row>
    <row r="121" spans="5:33" ht="12.75">
      <c r="E121" s="148"/>
      <c r="F121" s="148"/>
      <c r="G121" s="148"/>
      <c r="H121" s="148"/>
      <c r="AF121" s="4"/>
      <c r="AG121" s="4"/>
    </row>
    <row r="122" spans="5:33" ht="12.75">
      <c r="E122" s="148"/>
      <c r="F122" s="148"/>
      <c r="G122" s="148"/>
      <c r="H122" s="148"/>
      <c r="AF122" s="4"/>
      <c r="AG122" s="4"/>
    </row>
    <row r="123" spans="5:33" ht="12.75">
      <c r="E123" s="148"/>
      <c r="F123" s="148"/>
      <c r="G123" s="148"/>
      <c r="H123" s="148"/>
      <c r="AF123" s="4"/>
      <c r="AG123" s="4"/>
    </row>
    <row r="124" spans="5:33" ht="12.75">
      <c r="E124" s="148"/>
      <c r="F124" s="148"/>
      <c r="G124" s="148"/>
      <c r="H124" s="148"/>
      <c r="AF124" s="4"/>
      <c r="AG124" s="4"/>
    </row>
    <row r="125" spans="5:33" ht="12.75">
      <c r="E125" s="148"/>
      <c r="F125" s="148"/>
      <c r="G125" s="148"/>
      <c r="H125" s="148"/>
      <c r="AF125" s="4"/>
      <c r="AG125" s="4"/>
    </row>
    <row r="126" spans="5:33" ht="12.75">
      <c r="E126" s="148"/>
      <c r="F126" s="148"/>
      <c r="G126" s="148"/>
      <c r="H126" s="148"/>
      <c r="AF126" s="4"/>
      <c r="AG126" s="4"/>
    </row>
    <row r="127" spans="5:33" ht="12.75">
      <c r="E127" s="148"/>
      <c r="F127" s="148"/>
      <c r="G127" s="148"/>
      <c r="H127" s="148"/>
      <c r="AF127" s="4"/>
      <c r="AG127" s="4"/>
    </row>
    <row r="128" spans="5:33" ht="12.75">
      <c r="E128" s="148"/>
      <c r="F128" s="148"/>
      <c r="G128" s="148"/>
      <c r="H128" s="148"/>
      <c r="AF128" s="4"/>
      <c r="AG128" s="4"/>
    </row>
    <row r="129" spans="5:33" ht="12.75">
      <c r="E129" s="148"/>
      <c r="F129" s="148"/>
      <c r="G129" s="148"/>
      <c r="H129" s="148"/>
      <c r="AF129" s="4"/>
      <c r="AG129" s="4"/>
    </row>
    <row r="130" spans="5:33" ht="12.75">
      <c r="E130" s="148"/>
      <c r="F130" s="148"/>
      <c r="G130" s="148"/>
      <c r="H130" s="148"/>
      <c r="AF130" s="4"/>
      <c r="AG130" s="4"/>
    </row>
    <row r="131" spans="5:33" ht="12.75">
      <c r="E131" s="148"/>
      <c r="F131" s="148"/>
      <c r="G131" s="148"/>
      <c r="H131" s="148"/>
      <c r="AF131" s="4"/>
      <c r="AG131" s="4"/>
    </row>
    <row r="132" spans="5:33" ht="12.75">
      <c r="E132" s="148"/>
      <c r="F132" s="148"/>
      <c r="G132" s="148"/>
      <c r="H132" s="148"/>
      <c r="AF132" s="4"/>
      <c r="AG132" s="4"/>
    </row>
    <row r="133" spans="5:33" ht="12.75">
      <c r="E133" s="148"/>
      <c r="F133" s="148"/>
      <c r="G133" s="148"/>
      <c r="H133" s="148"/>
      <c r="AF133" s="4"/>
      <c r="AG133" s="4"/>
    </row>
    <row r="134" spans="5:33" ht="12.75">
      <c r="E134" s="148"/>
      <c r="F134" s="148"/>
      <c r="G134" s="148"/>
      <c r="H134" s="148"/>
      <c r="AF134" s="4"/>
      <c r="AG134" s="4"/>
    </row>
    <row r="135" spans="5:33" ht="12.75">
      <c r="E135" s="148"/>
      <c r="F135" s="148"/>
      <c r="G135" s="148"/>
      <c r="H135" s="148"/>
      <c r="AF135" s="4"/>
      <c r="AG135" s="4"/>
    </row>
    <row r="136" spans="5:33" ht="12.75">
      <c r="E136" s="148"/>
      <c r="F136" s="148"/>
      <c r="G136" s="148"/>
      <c r="H136" s="148"/>
      <c r="AF136" s="4"/>
      <c r="AG136" s="4"/>
    </row>
    <row r="137" spans="5:33" ht="12.75">
      <c r="E137" s="148"/>
      <c r="F137" s="148"/>
      <c r="G137" s="148"/>
      <c r="H137" s="148"/>
      <c r="AF137" s="4"/>
      <c r="AG137" s="4"/>
    </row>
    <row r="138" spans="5:33" ht="12.75">
      <c r="E138" s="148"/>
      <c r="F138" s="148"/>
      <c r="G138" s="148"/>
      <c r="H138" s="148"/>
      <c r="AF138" s="4"/>
      <c r="AG138" s="4"/>
    </row>
    <row r="139" spans="5:33" ht="12.75">
      <c r="E139" s="148"/>
      <c r="F139" s="148"/>
      <c r="G139" s="148"/>
      <c r="H139" s="148"/>
      <c r="AF139" s="4"/>
      <c r="AG139" s="4"/>
    </row>
    <row r="140" spans="5:33" ht="12.75">
      <c r="E140" s="148"/>
      <c r="F140" s="148"/>
      <c r="G140" s="148"/>
      <c r="H140" s="148"/>
      <c r="AF140" s="4"/>
      <c r="AG140" s="4"/>
    </row>
    <row r="141" spans="5:33" ht="12.75">
      <c r="E141" s="148"/>
      <c r="F141" s="148"/>
      <c r="G141" s="148"/>
      <c r="H141" s="148"/>
      <c r="AF141" s="4"/>
      <c r="AG141" s="4"/>
    </row>
    <row r="142" spans="5:33" ht="12.75">
      <c r="E142" s="148"/>
      <c r="F142" s="148"/>
      <c r="G142" s="148"/>
      <c r="H142" s="148"/>
      <c r="AF142" s="4"/>
      <c r="AG142" s="4"/>
    </row>
    <row r="143" spans="5:33" ht="12.75">
      <c r="E143" s="148"/>
      <c r="F143" s="148"/>
      <c r="G143" s="148"/>
      <c r="H143" s="148"/>
      <c r="AF143" s="4"/>
      <c r="AG143" s="4"/>
    </row>
    <row r="144" spans="5:33" ht="12.75">
      <c r="E144" s="148"/>
      <c r="F144" s="148"/>
      <c r="G144" s="148"/>
      <c r="H144" s="148"/>
      <c r="AF144" s="4"/>
      <c r="AG144" s="4"/>
    </row>
    <row r="145" spans="5:33" ht="12.75">
      <c r="E145" s="148"/>
      <c r="F145" s="148"/>
      <c r="G145" s="148"/>
      <c r="H145" s="148"/>
      <c r="AF145" s="4"/>
      <c r="AG145" s="4"/>
    </row>
    <row r="146" spans="5:33" ht="12.75">
      <c r="E146" s="148"/>
      <c r="F146" s="148"/>
      <c r="G146" s="148"/>
      <c r="H146" s="148"/>
      <c r="AF146" s="4"/>
      <c r="AG146" s="4"/>
    </row>
    <row r="147" spans="5:33" ht="12.75">
      <c r="E147" s="148"/>
      <c r="F147" s="148"/>
      <c r="G147" s="148"/>
      <c r="H147" s="148"/>
      <c r="AF147" s="4"/>
      <c r="AG147" s="4"/>
    </row>
    <row r="148" spans="5:33" ht="12.75">
      <c r="E148" s="148"/>
      <c r="F148" s="148"/>
      <c r="G148" s="148"/>
      <c r="H148" s="148"/>
      <c r="AF148" s="4"/>
      <c r="AG148" s="4"/>
    </row>
    <row r="149" spans="5:33" ht="12.75">
      <c r="E149" s="148"/>
      <c r="F149" s="148"/>
      <c r="G149" s="148"/>
      <c r="H149" s="148"/>
      <c r="AF149" s="4"/>
      <c r="AG149" s="4"/>
    </row>
    <row r="150" spans="5:33" ht="12.75">
      <c r="E150" s="148"/>
      <c r="F150" s="148"/>
      <c r="G150" s="148"/>
      <c r="H150" s="148"/>
      <c r="AF150" s="4"/>
      <c r="AG150" s="4"/>
    </row>
    <row r="151" spans="5:33" ht="12.75">
      <c r="E151" s="148"/>
      <c r="F151" s="148"/>
      <c r="G151" s="148"/>
      <c r="H151" s="148"/>
      <c r="AF151" s="4"/>
      <c r="AG151" s="4"/>
    </row>
    <row r="152" spans="5:33" ht="12.75">
      <c r="E152" s="148"/>
      <c r="F152" s="148"/>
      <c r="G152" s="148"/>
      <c r="H152" s="148"/>
      <c r="AF152" s="4"/>
      <c r="AG152" s="4"/>
    </row>
    <row r="153" spans="5:33" ht="12.75">
      <c r="E153" s="148"/>
      <c r="F153" s="148"/>
      <c r="G153" s="148"/>
      <c r="H153" s="148"/>
      <c r="AF153" s="4"/>
      <c r="AG153" s="4"/>
    </row>
    <row r="154" spans="5:33" ht="12.75">
      <c r="E154" s="148"/>
      <c r="F154" s="148"/>
      <c r="G154" s="148"/>
      <c r="H154" s="148"/>
      <c r="AF154" s="4"/>
      <c r="AG154" s="4"/>
    </row>
    <row r="155" spans="5:33" ht="12.75">
      <c r="E155" s="148"/>
      <c r="F155" s="148"/>
      <c r="G155" s="148"/>
      <c r="H155" s="148"/>
      <c r="AF155" s="4"/>
      <c r="AG155" s="4"/>
    </row>
    <row r="156" spans="5:33" ht="12.75">
      <c r="E156" s="148"/>
      <c r="F156" s="148"/>
      <c r="G156" s="148"/>
      <c r="H156" s="148"/>
      <c r="AF156" s="4"/>
      <c r="AG156" s="4"/>
    </row>
    <row r="157" spans="5:33" ht="12.75">
      <c r="E157" s="148"/>
      <c r="F157" s="148"/>
      <c r="G157" s="148"/>
      <c r="H157" s="148"/>
      <c r="AF157" s="4"/>
      <c r="AG157" s="4"/>
    </row>
    <row r="158" spans="5:33" ht="12.75">
      <c r="E158" s="148"/>
      <c r="F158" s="148"/>
      <c r="G158" s="148"/>
      <c r="H158" s="148"/>
      <c r="AF158" s="4"/>
      <c r="AG158" s="4"/>
    </row>
    <row r="159" spans="5:33" ht="12.75">
      <c r="E159" s="148"/>
      <c r="F159" s="148"/>
      <c r="G159" s="148"/>
      <c r="H159" s="148"/>
      <c r="AF159" s="4"/>
      <c r="AG159" s="4"/>
    </row>
    <row r="160" spans="5:33" ht="12.75">
      <c r="E160" s="148"/>
      <c r="F160" s="148"/>
      <c r="G160" s="148"/>
      <c r="H160" s="148"/>
      <c r="AF160" s="4"/>
      <c r="AG160" s="4"/>
    </row>
    <row r="161" spans="5:33" ht="12.75">
      <c r="E161" s="148"/>
      <c r="F161" s="148"/>
      <c r="G161" s="148"/>
      <c r="H161" s="148"/>
      <c r="AF161" s="4"/>
      <c r="AG161" s="4"/>
    </row>
    <row r="162" spans="5:33" ht="12.75">
      <c r="E162" s="148"/>
      <c r="F162" s="148"/>
      <c r="G162" s="148"/>
      <c r="H162" s="148"/>
      <c r="AF162" s="4"/>
      <c r="AG162" s="4"/>
    </row>
    <row r="163" spans="5:33" ht="12.75">
      <c r="E163" s="148"/>
      <c r="F163" s="148"/>
      <c r="G163" s="148"/>
      <c r="H163" s="148"/>
      <c r="AF163" s="4"/>
      <c r="AG163" s="4"/>
    </row>
    <row r="164" spans="5:33" ht="12.75">
      <c r="E164" s="148"/>
      <c r="F164" s="148"/>
      <c r="G164" s="148"/>
      <c r="H164" s="148"/>
      <c r="AF164" s="4"/>
      <c r="AG164" s="4"/>
    </row>
    <row r="165" spans="5:33" ht="12.75">
      <c r="E165" s="148"/>
      <c r="F165" s="148"/>
      <c r="G165" s="148"/>
      <c r="H165" s="148"/>
      <c r="AF165" s="4"/>
      <c r="AG165" s="4"/>
    </row>
    <row r="166" spans="5:33" ht="12.75">
      <c r="E166" s="148"/>
      <c r="F166" s="148"/>
      <c r="G166" s="148"/>
      <c r="H166" s="148"/>
      <c r="AF166" s="4"/>
      <c r="AG166" s="4"/>
    </row>
    <row r="167" spans="5:33" ht="12.75">
      <c r="E167" s="148"/>
      <c r="F167" s="148"/>
      <c r="G167" s="148"/>
      <c r="H167" s="148"/>
      <c r="AF167" s="4"/>
      <c r="AG167" s="4"/>
    </row>
    <row r="168" spans="5:33" ht="12.75">
      <c r="E168" s="148"/>
      <c r="F168" s="148"/>
      <c r="G168" s="148"/>
      <c r="H168" s="148"/>
      <c r="AF168" s="4"/>
      <c r="AG168" s="4"/>
    </row>
    <row r="169" spans="5:33" ht="12.75">
      <c r="E169" s="148"/>
      <c r="F169" s="148"/>
      <c r="G169" s="148"/>
      <c r="H169" s="148"/>
      <c r="AF169" s="4"/>
      <c r="AG169" s="4"/>
    </row>
    <row r="170" spans="5:33" ht="12.75">
      <c r="E170" s="148"/>
      <c r="F170" s="148"/>
      <c r="G170" s="148"/>
      <c r="H170" s="148"/>
      <c r="AF170" s="4"/>
      <c r="AG170" s="4"/>
    </row>
    <row r="171" spans="5:33" ht="12.75">
      <c r="E171" s="148"/>
      <c r="F171" s="148"/>
      <c r="G171" s="148"/>
      <c r="H171" s="148"/>
      <c r="AF171" s="4"/>
      <c r="AG171" s="4"/>
    </row>
    <row r="172" spans="5:33" ht="12.75">
      <c r="E172" s="148"/>
      <c r="F172" s="148"/>
      <c r="G172" s="148"/>
      <c r="H172" s="148"/>
      <c r="AF172" s="4"/>
      <c r="AG172" s="4"/>
    </row>
    <row r="173" spans="5:33" ht="12.75">
      <c r="E173" s="148"/>
      <c r="F173" s="148"/>
      <c r="G173" s="148"/>
      <c r="H173" s="148"/>
      <c r="AF173" s="4"/>
      <c r="AG173" s="4"/>
    </row>
    <row r="174" spans="5:33" ht="12.75">
      <c r="E174" s="148"/>
      <c r="F174" s="148"/>
      <c r="G174" s="148"/>
      <c r="H174" s="148"/>
      <c r="AF174" s="4"/>
      <c r="AG174" s="4"/>
    </row>
    <row r="175" spans="5:33" ht="12.75">
      <c r="E175" s="148"/>
      <c r="F175" s="148"/>
      <c r="G175" s="148"/>
      <c r="H175" s="148"/>
      <c r="AF175" s="4"/>
      <c r="AG175" s="4"/>
    </row>
    <row r="176" spans="5:33" ht="12.75">
      <c r="E176" s="148"/>
      <c r="F176" s="148"/>
      <c r="G176" s="148"/>
      <c r="H176" s="148"/>
      <c r="AF176" s="4"/>
      <c r="AG176" s="4"/>
    </row>
    <row r="177" spans="5:33" ht="12.75">
      <c r="E177" s="148"/>
      <c r="F177" s="148"/>
      <c r="G177" s="148"/>
      <c r="H177" s="148"/>
      <c r="AF177" s="4"/>
      <c r="AG177" s="4"/>
    </row>
    <row r="178" spans="5:33" ht="12.75">
      <c r="E178" s="148"/>
      <c r="F178" s="148"/>
      <c r="G178" s="148"/>
      <c r="H178" s="148"/>
      <c r="AF178" s="4"/>
      <c r="AG178" s="4"/>
    </row>
    <row r="179" spans="5:33" ht="12.75">
      <c r="E179" s="148"/>
      <c r="F179" s="148"/>
      <c r="G179" s="148"/>
      <c r="H179" s="148"/>
      <c r="AF179" s="4"/>
      <c r="AG179" s="4"/>
    </row>
    <row r="180" spans="5:33" ht="12.75">
      <c r="E180" s="148"/>
      <c r="F180" s="148"/>
      <c r="G180" s="148"/>
      <c r="H180" s="148"/>
      <c r="AF180" s="4"/>
      <c r="AG180" s="4"/>
    </row>
    <row r="181" spans="5:33" ht="12.75">
      <c r="E181" s="148"/>
      <c r="F181" s="148"/>
      <c r="G181" s="148"/>
      <c r="H181" s="148"/>
      <c r="AF181" s="4"/>
      <c r="AG181" s="4"/>
    </row>
    <row r="182" spans="5:33" ht="12.75">
      <c r="E182" s="148"/>
      <c r="F182" s="148"/>
      <c r="G182" s="148"/>
      <c r="H182" s="148"/>
      <c r="AF182" s="4"/>
      <c r="AG182" s="4"/>
    </row>
    <row r="183" spans="5:33" ht="12.75">
      <c r="E183" s="148"/>
      <c r="F183" s="148"/>
      <c r="G183" s="148"/>
      <c r="H183" s="148"/>
      <c r="AF183" s="4"/>
      <c r="AG183" s="4"/>
    </row>
    <row r="184" spans="5:33" ht="12.75">
      <c r="E184" s="148"/>
      <c r="F184" s="148"/>
      <c r="G184" s="148"/>
      <c r="H184" s="148"/>
      <c r="AF184" s="4"/>
      <c r="AG184" s="4"/>
    </row>
    <row r="185" spans="5:33" ht="12.75">
      <c r="E185" s="148"/>
      <c r="F185" s="148"/>
      <c r="G185" s="148"/>
      <c r="H185" s="148"/>
      <c r="AF185" s="4"/>
      <c r="AG185" s="4"/>
    </row>
    <row r="186" spans="5:33" ht="12.75">
      <c r="E186" s="148"/>
      <c r="F186" s="148"/>
      <c r="G186" s="148"/>
      <c r="H186" s="148"/>
      <c r="AF186" s="4"/>
      <c r="AG186" s="4"/>
    </row>
    <row r="187" spans="5:33" ht="12.75">
      <c r="E187" s="148"/>
      <c r="F187" s="148"/>
      <c r="G187" s="148"/>
      <c r="H187" s="148"/>
      <c r="AF187" s="4"/>
      <c r="AG187" s="4"/>
    </row>
    <row r="188" spans="5:33" ht="12.75">
      <c r="E188" s="148"/>
      <c r="F188" s="148"/>
      <c r="G188" s="148"/>
      <c r="H188" s="148"/>
      <c r="AF188" s="4"/>
      <c r="AG188" s="4"/>
    </row>
    <row r="189" spans="5:33" ht="12.75">
      <c r="E189" s="148"/>
      <c r="F189" s="148"/>
      <c r="G189" s="148"/>
      <c r="H189" s="148"/>
      <c r="AF189" s="4"/>
      <c r="AG189" s="4"/>
    </row>
    <row r="190" spans="5:33" ht="12.75">
      <c r="E190" s="148"/>
      <c r="F190" s="148"/>
      <c r="G190" s="148"/>
      <c r="H190" s="148"/>
      <c r="AF190" s="4"/>
      <c r="AG190" s="4"/>
    </row>
    <row r="191" spans="5:33" ht="12.75">
      <c r="E191" s="148"/>
      <c r="F191" s="148"/>
      <c r="G191" s="148"/>
      <c r="H191" s="148"/>
      <c r="AF191" s="4"/>
      <c r="AG191" s="4"/>
    </row>
    <row r="192" spans="5:33" ht="12.75">
      <c r="E192" s="148"/>
      <c r="F192" s="148"/>
      <c r="G192" s="148"/>
      <c r="H192" s="148"/>
      <c r="AF192" s="4"/>
      <c r="AG192" s="4"/>
    </row>
    <row r="193" spans="5:33" ht="12.75">
      <c r="E193" s="148"/>
      <c r="F193" s="148"/>
      <c r="G193" s="148"/>
      <c r="H193" s="148"/>
      <c r="AF193" s="4"/>
      <c r="AG193" s="4"/>
    </row>
    <row r="194" spans="5:33" ht="12.75">
      <c r="E194" s="148"/>
      <c r="F194" s="148"/>
      <c r="G194" s="148"/>
      <c r="H194" s="148"/>
      <c r="AF194" s="4"/>
      <c r="AG194" s="4"/>
    </row>
    <row r="195" spans="5:33" ht="12.75">
      <c r="E195" s="148"/>
      <c r="F195" s="148"/>
      <c r="G195" s="148"/>
      <c r="H195" s="148"/>
      <c r="AF195" s="4"/>
      <c r="AG195" s="4"/>
    </row>
    <row r="196" spans="5:33" ht="12.75">
      <c r="E196" s="148"/>
      <c r="F196" s="148"/>
      <c r="G196" s="148"/>
      <c r="H196" s="148"/>
      <c r="AF196" s="4"/>
      <c r="AG196" s="4"/>
    </row>
    <row r="197" spans="5:33" ht="12.75">
      <c r="E197" s="148"/>
      <c r="F197" s="148"/>
      <c r="G197" s="148"/>
      <c r="H197" s="148"/>
      <c r="AF197" s="4"/>
      <c r="AG197" s="4"/>
    </row>
    <row r="198" spans="5:33" ht="12.75">
      <c r="E198" s="148"/>
      <c r="F198" s="148"/>
      <c r="G198" s="148"/>
      <c r="H198" s="148"/>
      <c r="AF198" s="4"/>
      <c r="AG198" s="4"/>
    </row>
    <row r="199" spans="5:33" ht="12.75">
      <c r="E199" s="148"/>
      <c r="F199" s="148"/>
      <c r="G199" s="148"/>
      <c r="H199" s="148"/>
      <c r="AF199" s="4"/>
      <c r="AG199" s="4"/>
    </row>
    <row r="200" spans="5:33" ht="12.75">
      <c r="E200" s="148"/>
      <c r="F200" s="148"/>
      <c r="G200" s="148"/>
      <c r="H200" s="148"/>
      <c r="AF200" s="4"/>
      <c r="AG200" s="4"/>
    </row>
    <row r="201" spans="5:33" ht="12.75">
      <c r="E201" s="148"/>
      <c r="F201" s="148"/>
      <c r="G201" s="148"/>
      <c r="H201" s="148"/>
      <c r="AF201" s="4"/>
      <c r="AG201" s="4"/>
    </row>
    <row r="202" spans="5:33" ht="12.75">
      <c r="E202" s="148"/>
      <c r="F202" s="148"/>
      <c r="G202" s="148"/>
      <c r="H202" s="148"/>
      <c r="AF202" s="4"/>
      <c r="AG202" s="4"/>
    </row>
    <row r="203" spans="5:33" ht="12.75">
      <c r="E203" s="148"/>
      <c r="F203" s="148"/>
      <c r="G203" s="148"/>
      <c r="H203" s="148"/>
      <c r="AF203" s="4"/>
      <c r="AG203" s="4"/>
    </row>
    <row r="204" spans="5:33" ht="12.75">
      <c r="E204" s="148"/>
      <c r="F204" s="148"/>
      <c r="G204" s="148"/>
      <c r="H204" s="148"/>
      <c r="AF204" s="4"/>
      <c r="AG204" s="4"/>
    </row>
    <row r="205" spans="5:33" ht="12.75">
      <c r="E205" s="148"/>
      <c r="F205" s="148"/>
      <c r="G205" s="148"/>
      <c r="H205" s="148"/>
      <c r="AF205" s="4"/>
      <c r="AG205" s="4"/>
    </row>
    <row r="206" spans="5:33" ht="12.75">
      <c r="E206" s="148"/>
      <c r="F206" s="148"/>
      <c r="G206" s="148"/>
      <c r="H206" s="148"/>
      <c r="AF206" s="4"/>
      <c r="AG206" s="4"/>
    </row>
    <row r="207" spans="5:33" ht="12.75">
      <c r="E207" s="148"/>
      <c r="F207" s="148"/>
      <c r="G207" s="148"/>
      <c r="H207" s="148"/>
      <c r="AF207" s="4"/>
      <c r="AG207" s="4"/>
    </row>
    <row r="208" spans="5:33" ht="12.75">
      <c r="E208" s="148"/>
      <c r="F208" s="148"/>
      <c r="G208" s="148"/>
      <c r="H208" s="148"/>
      <c r="AF208" s="4"/>
      <c r="AG208" s="4"/>
    </row>
    <row r="209" spans="5:33" ht="12.75">
      <c r="E209" s="148"/>
      <c r="F209" s="148"/>
      <c r="G209" s="148"/>
      <c r="H209" s="148"/>
      <c r="AF209" s="4"/>
      <c r="AG209" s="4"/>
    </row>
    <row r="210" spans="5:33" ht="12.75">
      <c r="E210" s="148"/>
      <c r="F210" s="148"/>
      <c r="G210" s="148"/>
      <c r="H210" s="148"/>
      <c r="AF210" s="4"/>
      <c r="AG210" s="4"/>
    </row>
    <row r="211" spans="5:33" ht="12.75">
      <c r="E211" s="148"/>
      <c r="F211" s="148"/>
      <c r="G211" s="148"/>
      <c r="H211" s="148"/>
      <c r="AF211" s="4"/>
      <c r="AG211" s="4"/>
    </row>
    <row r="212" spans="5:33" ht="12.75">
      <c r="E212" s="148"/>
      <c r="F212" s="148"/>
      <c r="G212" s="148"/>
      <c r="H212" s="148"/>
      <c r="AF212" s="4"/>
      <c r="AG212" s="4"/>
    </row>
    <row r="213" spans="5:33" ht="12.75">
      <c r="E213" s="148"/>
      <c r="F213" s="148"/>
      <c r="G213" s="148"/>
      <c r="H213" s="148"/>
      <c r="AF213" s="4"/>
      <c r="AG213" s="4"/>
    </row>
    <row r="214" spans="5:33" ht="12.75">
      <c r="E214" s="148"/>
      <c r="F214" s="148"/>
      <c r="G214" s="148"/>
      <c r="H214" s="148"/>
      <c r="AF214" s="4"/>
      <c r="AG214" s="4"/>
    </row>
    <row r="215" spans="5:33" ht="12.75">
      <c r="E215" s="148"/>
      <c r="F215" s="148"/>
      <c r="G215" s="148"/>
      <c r="H215" s="148"/>
      <c r="AF215" s="4"/>
      <c r="AG215" s="4"/>
    </row>
    <row r="216" spans="5:33" ht="12.75">
      <c r="E216" s="148"/>
      <c r="F216" s="148"/>
      <c r="G216" s="148"/>
      <c r="H216" s="148"/>
      <c r="AF216" s="4"/>
      <c r="AG216" s="4"/>
    </row>
    <row r="217" spans="5:33" ht="12.75">
      <c r="E217" s="148"/>
      <c r="F217" s="148"/>
      <c r="G217" s="148"/>
      <c r="H217" s="148"/>
      <c r="AF217" s="4"/>
      <c r="AG217" s="4"/>
    </row>
    <row r="218" spans="5:33" ht="12.75">
      <c r="E218" s="148"/>
      <c r="F218" s="148"/>
      <c r="G218" s="148"/>
      <c r="H218" s="148"/>
      <c r="AF218" s="4"/>
      <c r="AG218" s="4"/>
    </row>
    <row r="219" spans="5:33" ht="12.75">
      <c r="E219" s="148"/>
      <c r="F219" s="148"/>
      <c r="G219" s="148"/>
      <c r="H219" s="148"/>
      <c r="AF219" s="4"/>
      <c r="AG219" s="4"/>
    </row>
    <row r="220" spans="5:33" ht="12.75">
      <c r="E220" s="148"/>
      <c r="F220" s="148"/>
      <c r="G220" s="148"/>
      <c r="H220" s="148"/>
      <c r="AF220" s="4"/>
      <c r="AG220" s="4"/>
    </row>
    <row r="221" spans="5:33" ht="12.75">
      <c r="E221" s="148"/>
      <c r="F221" s="148"/>
      <c r="G221" s="148"/>
      <c r="H221" s="148"/>
      <c r="AF221" s="4"/>
      <c r="AG221" s="4"/>
    </row>
    <row r="222" spans="5:33" ht="12.75">
      <c r="E222" s="148"/>
      <c r="F222" s="148"/>
      <c r="G222" s="148"/>
      <c r="H222" s="148"/>
      <c r="AF222" s="4"/>
      <c r="AG222" s="4"/>
    </row>
    <row r="223" spans="5:33" ht="12.75">
      <c r="E223" s="148"/>
      <c r="F223" s="148"/>
      <c r="G223" s="148"/>
      <c r="H223" s="148"/>
      <c r="AF223" s="4"/>
      <c r="AG223" s="4"/>
    </row>
    <row r="224" spans="5:33" ht="12.75">
      <c r="E224" s="148"/>
      <c r="F224" s="148"/>
      <c r="G224" s="148"/>
      <c r="H224" s="148"/>
      <c r="AF224" s="4"/>
      <c r="AG224" s="4"/>
    </row>
    <row r="225" spans="5:33" ht="12.75">
      <c r="E225" s="148"/>
      <c r="F225" s="148"/>
      <c r="G225" s="148"/>
      <c r="H225" s="148"/>
      <c r="AF225" s="4"/>
      <c r="AG225" s="4"/>
    </row>
    <row r="226" spans="5:33" ht="12.75">
      <c r="E226" s="148"/>
      <c r="F226" s="148"/>
      <c r="G226" s="148"/>
      <c r="H226" s="148"/>
      <c r="AF226" s="4"/>
      <c r="AG226" s="4"/>
    </row>
    <row r="227" spans="5:33" ht="12.75">
      <c r="E227" s="148"/>
      <c r="F227" s="148"/>
      <c r="G227" s="148"/>
      <c r="H227" s="148"/>
      <c r="AF227" s="4"/>
      <c r="AG227" s="4"/>
    </row>
    <row r="228" spans="5:33" ht="12.75">
      <c r="E228" s="148"/>
      <c r="F228" s="148"/>
      <c r="G228" s="148"/>
      <c r="H228" s="148"/>
      <c r="AF228" s="4"/>
      <c r="AG228" s="4"/>
    </row>
    <row r="229" spans="5:33" ht="12.75">
      <c r="E229" s="148"/>
      <c r="F229" s="148"/>
      <c r="G229" s="148"/>
      <c r="H229" s="148"/>
      <c r="AF229" s="4"/>
      <c r="AG229" s="4"/>
    </row>
    <row r="230" spans="5:33" ht="12.75">
      <c r="E230" s="148"/>
      <c r="F230" s="148"/>
      <c r="G230" s="148"/>
      <c r="H230" s="148"/>
      <c r="AF230" s="4"/>
      <c r="AG230" s="4"/>
    </row>
    <row r="231" spans="5:33" ht="12.75">
      <c r="E231" s="148"/>
      <c r="F231" s="148"/>
      <c r="G231" s="148"/>
      <c r="H231" s="148"/>
      <c r="AF231" s="4"/>
      <c r="AG231" s="4"/>
    </row>
    <row r="232" spans="5:33" ht="12.75">
      <c r="E232" s="148"/>
      <c r="F232" s="148"/>
      <c r="G232" s="148"/>
      <c r="H232" s="148"/>
      <c r="AF232" s="4"/>
      <c r="AG232" s="4"/>
    </row>
    <row r="233" spans="5:33" ht="12.75">
      <c r="E233" s="148"/>
      <c r="F233" s="148"/>
      <c r="G233" s="148"/>
      <c r="H233" s="148"/>
      <c r="AF233" s="4"/>
      <c r="AG233" s="4"/>
    </row>
    <row r="234" spans="5:33" ht="12.75">
      <c r="E234" s="148"/>
      <c r="F234" s="148"/>
      <c r="G234" s="148"/>
      <c r="H234" s="148"/>
      <c r="AF234" s="4"/>
      <c r="AG234" s="4"/>
    </row>
    <row r="235" spans="5:33" ht="12.75">
      <c r="E235" s="148"/>
      <c r="F235" s="148"/>
      <c r="G235" s="148"/>
      <c r="H235" s="148"/>
      <c r="AF235" s="4"/>
      <c r="AG235" s="4"/>
    </row>
    <row r="236" spans="5:33" ht="12.75">
      <c r="E236" s="148"/>
      <c r="F236" s="148"/>
      <c r="G236" s="148"/>
      <c r="H236" s="148"/>
      <c r="AF236" s="4"/>
      <c r="AG236" s="4"/>
    </row>
    <row r="237" spans="5:33" ht="12.75">
      <c r="E237" s="148"/>
      <c r="F237" s="148"/>
      <c r="G237" s="148"/>
      <c r="H237" s="148"/>
      <c r="AF237" s="4"/>
      <c r="AG237" s="4"/>
    </row>
    <row r="238" spans="5:33" ht="12.75">
      <c r="E238" s="148"/>
      <c r="F238" s="148"/>
      <c r="G238" s="148"/>
      <c r="H238" s="148"/>
      <c r="AF238" s="4"/>
      <c r="AG238" s="4"/>
    </row>
    <row r="239" spans="5:33" ht="12.75">
      <c r="E239" s="148"/>
      <c r="F239" s="148"/>
      <c r="G239" s="148"/>
      <c r="H239" s="148"/>
      <c r="AF239" s="4"/>
      <c r="AG239" s="4"/>
    </row>
    <row r="240" spans="5:33" ht="12.75">
      <c r="E240" s="148"/>
      <c r="F240" s="148"/>
      <c r="G240" s="148"/>
      <c r="H240" s="148"/>
      <c r="AF240" s="4"/>
      <c r="AG240" s="4"/>
    </row>
    <row r="241" spans="5:33" ht="12.75">
      <c r="E241" s="148"/>
      <c r="F241" s="148"/>
      <c r="G241" s="148"/>
      <c r="H241" s="148"/>
      <c r="AF241" s="4"/>
      <c r="AG241" s="4"/>
    </row>
    <row r="242" spans="5:33" ht="12.75">
      <c r="E242" s="148"/>
      <c r="F242" s="148"/>
      <c r="G242" s="148"/>
      <c r="H242" s="148"/>
      <c r="AF242" s="4"/>
      <c r="AG242" s="4"/>
    </row>
    <row r="243" spans="5:33" ht="12.75">
      <c r="E243" s="148"/>
      <c r="F243" s="148"/>
      <c r="G243" s="148"/>
      <c r="H243" s="148"/>
      <c r="AF243" s="4"/>
      <c r="AG243" s="4"/>
    </row>
    <row r="244" spans="5:33" ht="12.75">
      <c r="E244" s="148"/>
      <c r="F244" s="148"/>
      <c r="G244" s="148"/>
      <c r="H244" s="148"/>
      <c r="AF244" s="4"/>
      <c r="AG244" s="4"/>
    </row>
    <row r="245" spans="5:33" ht="12.75">
      <c r="E245" s="148"/>
      <c r="F245" s="148"/>
      <c r="G245" s="148"/>
      <c r="H245" s="148"/>
      <c r="AF245" s="4"/>
      <c r="AG245" s="4"/>
    </row>
    <row r="246" spans="5:33" ht="12.75">
      <c r="E246" s="148"/>
      <c r="F246" s="148"/>
      <c r="G246" s="148"/>
      <c r="H246" s="148"/>
      <c r="AF246" s="4"/>
      <c r="AG246" s="4"/>
    </row>
    <row r="247" spans="5:33" ht="12.75">
      <c r="E247" s="148"/>
      <c r="F247" s="148"/>
      <c r="G247" s="148"/>
      <c r="H247" s="148"/>
      <c r="AF247" s="4"/>
      <c r="AG247" s="4"/>
    </row>
    <row r="248" spans="5:33" ht="12.75">
      <c r="E248" s="148"/>
      <c r="F248" s="148"/>
      <c r="G248" s="148"/>
      <c r="H248" s="148"/>
      <c r="AF248" s="4"/>
      <c r="AG248" s="4"/>
    </row>
    <row r="249" spans="5:33" ht="12.75">
      <c r="E249" s="148"/>
      <c r="F249" s="148"/>
      <c r="G249" s="148"/>
      <c r="H249" s="148"/>
      <c r="AF249" s="4"/>
      <c r="AG249" s="4"/>
    </row>
    <row r="250" spans="5:33" ht="12.75">
      <c r="E250" s="148"/>
      <c r="F250" s="148"/>
      <c r="G250" s="148"/>
      <c r="H250" s="148"/>
      <c r="AF250" s="4"/>
      <c r="AG250" s="4"/>
    </row>
    <row r="251" spans="5:33" ht="12.75">
      <c r="E251" s="148"/>
      <c r="F251" s="148"/>
      <c r="G251" s="148"/>
      <c r="H251" s="148"/>
      <c r="AF251" s="4"/>
      <c r="AG251" s="4"/>
    </row>
    <row r="252" spans="5:33" ht="12.75">
      <c r="E252" s="148"/>
      <c r="F252" s="148"/>
      <c r="G252" s="148"/>
      <c r="H252" s="148"/>
      <c r="AF252" s="4"/>
      <c r="AG252" s="4"/>
    </row>
    <row r="253" spans="5:33" ht="12.75">
      <c r="E253" s="148"/>
      <c r="F253" s="148"/>
      <c r="G253" s="148"/>
      <c r="H253" s="148"/>
      <c r="AF253" s="4"/>
      <c r="AG253" s="4"/>
    </row>
    <row r="254" spans="5:33" ht="12.75">
      <c r="E254" s="148"/>
      <c r="F254" s="148"/>
      <c r="G254" s="148"/>
      <c r="H254" s="148"/>
      <c r="AF254" s="4"/>
      <c r="AG254" s="4"/>
    </row>
    <row r="255" spans="5:33" ht="12.75">
      <c r="E255" s="148"/>
      <c r="F255" s="148"/>
      <c r="G255" s="148"/>
      <c r="H255" s="148"/>
      <c r="AF255" s="4"/>
      <c r="AG255" s="4"/>
    </row>
    <row r="256" spans="5:33" ht="12.75">
      <c r="E256" s="148"/>
      <c r="F256" s="148"/>
      <c r="G256" s="148"/>
      <c r="H256" s="148"/>
      <c r="AF256" s="4"/>
      <c r="AG256" s="4"/>
    </row>
    <row r="257" spans="5:33" ht="12.75">
      <c r="E257" s="148"/>
      <c r="F257" s="148"/>
      <c r="G257" s="148"/>
      <c r="H257" s="148"/>
      <c r="AF257" s="4"/>
      <c r="AG257" s="4"/>
    </row>
    <row r="258" spans="5:33" ht="12.75">
      <c r="E258" s="148"/>
      <c r="F258" s="148"/>
      <c r="G258" s="148"/>
      <c r="H258" s="148"/>
      <c r="AF258" s="4"/>
      <c r="AG258" s="4"/>
    </row>
    <row r="259" spans="5:33" ht="12.75">
      <c r="E259" s="148"/>
      <c r="F259" s="148"/>
      <c r="G259" s="148"/>
      <c r="H259" s="148"/>
      <c r="AF259" s="4"/>
      <c r="AG259" s="4"/>
    </row>
    <row r="260" spans="5:33" ht="12.75">
      <c r="E260" s="148"/>
      <c r="F260" s="148"/>
      <c r="G260" s="148"/>
      <c r="H260" s="148"/>
      <c r="AF260" s="4"/>
      <c r="AG260" s="4"/>
    </row>
    <row r="261" spans="5:33" ht="12.75">
      <c r="E261" s="148"/>
      <c r="F261" s="148"/>
      <c r="G261" s="148"/>
      <c r="H261" s="148"/>
      <c r="AF261" s="4"/>
      <c r="AG261" s="4"/>
    </row>
    <row r="262" spans="5:33" ht="12.75">
      <c r="E262" s="148"/>
      <c r="F262" s="148"/>
      <c r="G262" s="148"/>
      <c r="H262" s="148"/>
      <c r="AF262" s="4"/>
      <c r="AG262" s="4"/>
    </row>
    <row r="263" spans="5:33" ht="12.75">
      <c r="E263" s="148"/>
      <c r="F263" s="148"/>
      <c r="G263" s="148"/>
      <c r="H263" s="148"/>
      <c r="AF263" s="4"/>
      <c r="AG263" s="4"/>
    </row>
    <row r="264" spans="5:33" ht="12.75">
      <c r="E264" s="148"/>
      <c r="F264" s="148"/>
      <c r="G264" s="148"/>
      <c r="H264" s="148"/>
      <c r="AF264" s="4"/>
      <c r="AG264" s="4"/>
    </row>
    <row r="265" spans="5:33" ht="12.75">
      <c r="E265" s="148"/>
      <c r="F265" s="148"/>
      <c r="G265" s="148"/>
      <c r="H265" s="148"/>
      <c r="AF265" s="4"/>
      <c r="AG265" s="4"/>
    </row>
    <row r="266" spans="5:33" ht="12.75">
      <c r="E266" s="148"/>
      <c r="F266" s="148"/>
      <c r="G266" s="148"/>
      <c r="H266" s="148"/>
      <c r="AF266" s="4"/>
      <c r="AG266" s="4"/>
    </row>
    <row r="267" spans="5:33" ht="12.75">
      <c r="E267" s="148"/>
      <c r="F267" s="148"/>
      <c r="G267" s="148"/>
      <c r="H267" s="148"/>
      <c r="AF267" s="4"/>
      <c r="AG267" s="4"/>
    </row>
    <row r="268" spans="5:33" ht="12.75">
      <c r="E268" s="148"/>
      <c r="F268" s="148"/>
      <c r="G268" s="148"/>
      <c r="H268" s="148"/>
      <c r="AF268" s="4"/>
      <c r="AG268" s="4"/>
    </row>
    <row r="269" spans="5:33" ht="12.75">
      <c r="E269" s="148"/>
      <c r="F269" s="148"/>
      <c r="G269" s="148"/>
      <c r="H269" s="148"/>
      <c r="AF269" s="4"/>
      <c r="AG269" s="4"/>
    </row>
    <row r="270" spans="5:33" ht="12.75">
      <c r="E270" s="148"/>
      <c r="F270" s="148"/>
      <c r="G270" s="148"/>
      <c r="H270" s="148"/>
      <c r="AF270" s="4"/>
      <c r="AG270" s="4"/>
    </row>
    <row r="271" spans="5:33" ht="12.75">
      <c r="E271" s="148"/>
      <c r="F271" s="148"/>
      <c r="G271" s="148"/>
      <c r="H271" s="148"/>
      <c r="AF271" s="4"/>
      <c r="AG271" s="4"/>
    </row>
    <row r="272" spans="5:33" ht="12.75">
      <c r="E272" s="148"/>
      <c r="F272" s="148"/>
      <c r="G272" s="148"/>
      <c r="H272" s="148"/>
      <c r="AF272" s="4"/>
      <c r="AG272" s="4"/>
    </row>
    <row r="273" spans="5:33" ht="12.75">
      <c r="E273" s="148"/>
      <c r="F273" s="148"/>
      <c r="G273" s="148"/>
      <c r="H273" s="148"/>
      <c r="AF273" s="4"/>
      <c r="AG273" s="4"/>
    </row>
    <row r="274" spans="5:33" ht="12.75">
      <c r="E274" s="148"/>
      <c r="F274" s="148"/>
      <c r="G274" s="148"/>
      <c r="H274" s="148"/>
      <c r="AF274" s="4"/>
      <c r="AG274" s="4"/>
    </row>
    <row r="275" spans="5:33" ht="12.75">
      <c r="E275" s="148"/>
      <c r="F275" s="148"/>
      <c r="G275" s="148"/>
      <c r="H275" s="148"/>
      <c r="AF275" s="4"/>
      <c r="AG275" s="4"/>
    </row>
    <row r="276" spans="5:33" ht="12.75">
      <c r="E276" s="148"/>
      <c r="F276" s="148"/>
      <c r="G276" s="148"/>
      <c r="H276" s="148"/>
      <c r="AF276" s="4"/>
      <c r="AG276" s="4"/>
    </row>
    <row r="277" spans="5:33" ht="12.75">
      <c r="E277" s="148"/>
      <c r="F277" s="148"/>
      <c r="G277" s="148"/>
      <c r="H277" s="148"/>
      <c r="AF277" s="4"/>
      <c r="AG277" s="4"/>
    </row>
    <row r="278" spans="5:33" ht="12.75">
      <c r="E278" s="148"/>
      <c r="F278" s="148"/>
      <c r="G278" s="148"/>
      <c r="H278" s="148"/>
      <c r="AF278" s="4"/>
      <c r="AG278" s="4"/>
    </row>
    <row r="279" spans="5:33" ht="12.75">
      <c r="E279" s="148"/>
      <c r="F279" s="148"/>
      <c r="G279" s="148"/>
      <c r="H279" s="148"/>
      <c r="AF279" s="4"/>
      <c r="AG279" s="4"/>
    </row>
    <row r="280" spans="5:33" ht="12.75">
      <c r="E280" s="148"/>
      <c r="F280" s="148"/>
      <c r="G280" s="148"/>
      <c r="H280" s="148"/>
      <c r="AF280" s="4"/>
      <c r="AG280" s="4"/>
    </row>
    <row r="281" spans="5:33" ht="12.75">
      <c r="E281" s="148"/>
      <c r="F281" s="148"/>
      <c r="G281" s="148"/>
      <c r="H281" s="148"/>
      <c r="AF281" s="4"/>
      <c r="AG281" s="4"/>
    </row>
    <row r="282" spans="5:33" ht="12.75">
      <c r="E282" s="148"/>
      <c r="F282" s="148"/>
      <c r="G282" s="148"/>
      <c r="H282" s="148"/>
      <c r="AF282" s="4"/>
      <c r="AG282" s="4"/>
    </row>
    <row r="283" spans="5:33" ht="12.75">
      <c r="E283" s="148"/>
      <c r="F283" s="148"/>
      <c r="G283" s="148"/>
      <c r="H283" s="148"/>
      <c r="AF283" s="4"/>
      <c r="AG283" s="4"/>
    </row>
    <row r="284" spans="5:33" ht="12.75">
      <c r="E284" s="148"/>
      <c r="F284" s="148"/>
      <c r="G284" s="148"/>
      <c r="H284" s="148"/>
      <c r="AF284" s="4"/>
      <c r="AG284" s="4"/>
    </row>
    <row r="285" spans="5:33" ht="12.75">
      <c r="E285" s="148"/>
      <c r="F285" s="148"/>
      <c r="G285" s="148"/>
      <c r="H285" s="148"/>
      <c r="AF285" s="4"/>
      <c r="AG285" s="4"/>
    </row>
    <row r="286" spans="5:33" ht="12.75">
      <c r="E286" s="148"/>
      <c r="F286" s="148"/>
      <c r="G286" s="148"/>
      <c r="H286" s="148"/>
      <c r="AF286" s="4"/>
      <c r="AG286" s="4"/>
    </row>
    <row r="287" spans="5:33" ht="12.75">
      <c r="E287" s="148"/>
      <c r="F287" s="148"/>
      <c r="G287" s="148"/>
      <c r="H287" s="148"/>
      <c r="AF287" s="4"/>
      <c r="AG287" s="4"/>
    </row>
    <row r="288" spans="5:33" ht="12.75">
      <c r="E288" s="148"/>
      <c r="F288" s="148"/>
      <c r="G288" s="148"/>
      <c r="H288" s="148"/>
      <c r="AF288" s="4"/>
      <c r="AG288" s="4"/>
    </row>
    <row r="289" spans="5:33" ht="12.75">
      <c r="E289" s="148"/>
      <c r="F289" s="148"/>
      <c r="G289" s="148"/>
      <c r="H289" s="148"/>
      <c r="AF289" s="4"/>
      <c r="AG289" s="4"/>
    </row>
    <row r="290" spans="5:33" ht="12.75">
      <c r="E290" s="148"/>
      <c r="F290" s="148"/>
      <c r="G290" s="148"/>
      <c r="H290" s="148"/>
      <c r="AF290" s="4"/>
      <c r="AG290" s="4"/>
    </row>
    <row r="291" spans="5:33" ht="12.75">
      <c r="E291" s="148"/>
      <c r="F291" s="148"/>
      <c r="G291" s="148"/>
      <c r="H291" s="148"/>
      <c r="AF291" s="4"/>
      <c r="AG291" s="4"/>
    </row>
    <row r="292" spans="5:33" ht="12.75">
      <c r="E292" s="148"/>
      <c r="F292" s="148"/>
      <c r="G292" s="148"/>
      <c r="H292" s="148"/>
      <c r="AF292" s="4"/>
      <c r="AG292" s="4"/>
    </row>
    <row r="293" spans="5:33" ht="12.75">
      <c r="E293" s="148"/>
      <c r="F293" s="148"/>
      <c r="G293" s="148"/>
      <c r="H293" s="148"/>
      <c r="AF293" s="4"/>
      <c r="AG293" s="4"/>
    </row>
    <row r="294" spans="5:33" ht="12.75">
      <c r="E294" s="148"/>
      <c r="F294" s="148"/>
      <c r="G294" s="148"/>
      <c r="H294" s="148"/>
      <c r="AF294" s="4"/>
      <c r="AG294" s="4"/>
    </row>
    <row r="295" spans="5:33" ht="12.75">
      <c r="E295" s="148"/>
      <c r="F295" s="148"/>
      <c r="G295" s="148"/>
      <c r="H295" s="148"/>
      <c r="AF295" s="4"/>
      <c r="AG295" s="4"/>
    </row>
    <row r="296" spans="5:33" ht="12.75">
      <c r="E296" s="148"/>
      <c r="F296" s="148"/>
      <c r="G296" s="148"/>
      <c r="H296" s="148"/>
      <c r="AF296" s="4"/>
      <c r="AG296" s="4"/>
    </row>
    <row r="297" spans="5:33" ht="12.75">
      <c r="E297" s="148"/>
      <c r="F297" s="148"/>
      <c r="G297" s="148"/>
      <c r="H297" s="148"/>
      <c r="AF297" s="4"/>
      <c r="AG297" s="4"/>
    </row>
    <row r="298" spans="5:33" ht="12.75">
      <c r="E298" s="148"/>
      <c r="F298" s="148"/>
      <c r="G298" s="148"/>
      <c r="H298" s="148"/>
      <c r="AF298" s="4"/>
      <c r="AG298" s="4"/>
    </row>
    <row r="299" spans="5:33" ht="12.75">
      <c r="E299" s="148"/>
      <c r="F299" s="148"/>
      <c r="G299" s="148"/>
      <c r="H299" s="148"/>
      <c r="AF299" s="4"/>
      <c r="AG299" s="4"/>
    </row>
    <row r="300" spans="5:33" ht="12.75">
      <c r="E300" s="148"/>
      <c r="F300" s="148"/>
      <c r="G300" s="148"/>
      <c r="H300" s="148"/>
      <c r="AF300" s="4"/>
      <c r="AG300" s="4"/>
    </row>
    <row r="301" spans="5:33" ht="12.75">
      <c r="E301" s="148"/>
      <c r="F301" s="148"/>
      <c r="G301" s="148"/>
      <c r="H301" s="148"/>
      <c r="AF301" s="4"/>
      <c r="AG301" s="4"/>
    </row>
    <row r="302" spans="5:33" ht="12.75">
      <c r="E302" s="148"/>
      <c r="F302" s="148"/>
      <c r="G302" s="148"/>
      <c r="H302" s="148"/>
      <c r="AF302" s="4"/>
      <c r="AG302" s="4"/>
    </row>
    <row r="303" spans="5:33" ht="12.75">
      <c r="E303" s="148"/>
      <c r="F303" s="148"/>
      <c r="G303" s="148"/>
      <c r="H303" s="148"/>
      <c r="AF303" s="4"/>
      <c r="AG303" s="4"/>
    </row>
    <row r="304" spans="5:33" ht="12.75">
      <c r="E304" s="148"/>
      <c r="F304" s="148"/>
      <c r="G304" s="148"/>
      <c r="H304" s="148"/>
      <c r="AF304" s="4"/>
      <c r="AG304" s="4"/>
    </row>
    <row r="305" spans="5:33" ht="12.75">
      <c r="E305" s="148"/>
      <c r="F305" s="148"/>
      <c r="G305" s="148"/>
      <c r="H305" s="148"/>
      <c r="AF305" s="4"/>
      <c r="AG305" s="4"/>
    </row>
    <row r="306" spans="5:33" ht="12.75">
      <c r="E306" s="148"/>
      <c r="F306" s="148"/>
      <c r="G306" s="148"/>
      <c r="H306" s="148"/>
      <c r="AF306" s="4"/>
      <c r="AG306" s="4"/>
    </row>
    <row r="307" spans="5:33" ht="12.75">
      <c r="E307" s="148"/>
      <c r="F307" s="148"/>
      <c r="G307" s="148"/>
      <c r="H307" s="148"/>
      <c r="AF307" s="4"/>
      <c r="AG307" s="4"/>
    </row>
    <row r="308" spans="5:33" ht="12.75">
      <c r="E308" s="148"/>
      <c r="F308" s="148"/>
      <c r="G308" s="148"/>
      <c r="H308" s="148"/>
      <c r="AF308" s="4"/>
      <c r="AG308" s="4"/>
    </row>
    <row r="309" spans="5:33" ht="12.75">
      <c r="E309" s="148"/>
      <c r="F309" s="148"/>
      <c r="G309" s="148"/>
      <c r="H309" s="148"/>
      <c r="AF309" s="4"/>
      <c r="AG309" s="4"/>
    </row>
    <row r="310" spans="5:33" ht="12.75">
      <c r="E310" s="148"/>
      <c r="F310" s="148"/>
      <c r="G310" s="148"/>
      <c r="H310" s="148"/>
      <c r="AF310" s="4"/>
      <c r="AG310" s="4"/>
    </row>
    <row r="311" spans="5:33" ht="12.75">
      <c r="E311" s="148"/>
      <c r="F311" s="148"/>
      <c r="G311" s="148"/>
      <c r="H311" s="148"/>
      <c r="AF311" s="4"/>
      <c r="AG311" s="4"/>
    </row>
    <row r="312" spans="5:33" ht="12.75">
      <c r="E312" s="148"/>
      <c r="F312" s="148"/>
      <c r="G312" s="148"/>
      <c r="H312" s="148"/>
      <c r="AF312" s="4"/>
      <c r="AG312" s="4"/>
    </row>
    <row r="313" spans="5:33" ht="12.75">
      <c r="E313" s="148"/>
      <c r="F313" s="148"/>
      <c r="G313" s="148"/>
      <c r="H313" s="148"/>
      <c r="AF313" s="4"/>
      <c r="AG313" s="4"/>
    </row>
    <row r="314" spans="5:33" ht="12.75">
      <c r="E314" s="148"/>
      <c r="F314" s="148"/>
      <c r="G314" s="148"/>
      <c r="H314" s="148"/>
      <c r="AF314" s="4"/>
      <c r="AG314" s="4"/>
    </row>
    <row r="315" spans="5:33" ht="12.75">
      <c r="E315" s="148"/>
      <c r="F315" s="148"/>
      <c r="G315" s="148"/>
      <c r="H315" s="148"/>
      <c r="AF315" s="4"/>
      <c r="AG315" s="4"/>
    </row>
    <row r="316" spans="5:33" ht="12.75">
      <c r="E316" s="148"/>
      <c r="F316" s="148"/>
      <c r="G316" s="148"/>
      <c r="H316" s="148"/>
      <c r="AF316" s="4"/>
      <c r="AG316" s="4"/>
    </row>
    <row r="317" spans="5:33" ht="12.75">
      <c r="E317" s="148"/>
      <c r="F317" s="148"/>
      <c r="G317" s="148"/>
      <c r="H317" s="148"/>
      <c r="AF317" s="4"/>
      <c r="AG317" s="4"/>
    </row>
    <row r="318" spans="5:33" ht="12.75">
      <c r="E318" s="148"/>
      <c r="F318" s="148"/>
      <c r="G318" s="148"/>
      <c r="H318" s="148"/>
      <c r="AF318" s="4"/>
      <c r="AG318" s="4"/>
    </row>
    <row r="319" spans="5:33" ht="12.75">
      <c r="E319" s="148"/>
      <c r="F319" s="148"/>
      <c r="G319" s="148"/>
      <c r="H319" s="148"/>
      <c r="AF319" s="4"/>
      <c r="AG319" s="4"/>
    </row>
    <row r="320" spans="5:33" ht="12.75">
      <c r="E320" s="148"/>
      <c r="F320" s="148"/>
      <c r="G320" s="148"/>
      <c r="H320" s="148"/>
      <c r="AF320" s="4"/>
      <c r="AG320" s="4"/>
    </row>
    <row r="321" spans="5:33" ht="12.75">
      <c r="E321" s="148"/>
      <c r="F321" s="148"/>
      <c r="G321" s="148"/>
      <c r="H321" s="148"/>
      <c r="AF321" s="4"/>
      <c r="AG321" s="4"/>
    </row>
    <row r="322" spans="5:33" ht="12.75">
      <c r="E322" s="148"/>
      <c r="F322" s="148"/>
      <c r="G322" s="148"/>
      <c r="H322" s="148"/>
      <c r="AF322" s="4"/>
      <c r="AG322" s="4"/>
    </row>
    <row r="323" spans="5:33" ht="12.75">
      <c r="E323" s="148"/>
      <c r="F323" s="148"/>
      <c r="G323" s="148"/>
      <c r="H323" s="148"/>
      <c r="AF323" s="4"/>
      <c r="AG323" s="4"/>
    </row>
    <row r="324" spans="5:33" ht="12.75">
      <c r="E324" s="148"/>
      <c r="F324" s="148"/>
      <c r="G324" s="148"/>
      <c r="H324" s="148"/>
      <c r="AF324" s="4"/>
      <c r="AG324" s="4"/>
    </row>
    <row r="325" spans="5:33" ht="12.75">
      <c r="E325" s="148"/>
      <c r="F325" s="148"/>
      <c r="G325" s="148"/>
      <c r="H325" s="148"/>
      <c r="AF325" s="4"/>
      <c r="AG325" s="4"/>
    </row>
    <row r="326" spans="5:33" ht="12.75">
      <c r="E326" s="148"/>
      <c r="F326" s="148"/>
      <c r="G326" s="148"/>
      <c r="H326" s="148"/>
      <c r="AF326" s="4"/>
      <c r="AG326" s="4"/>
    </row>
    <row r="327" spans="5:33" ht="12.75">
      <c r="E327" s="148"/>
      <c r="F327" s="148"/>
      <c r="G327" s="148"/>
      <c r="H327" s="148"/>
      <c r="AF327" s="4"/>
      <c r="AG327" s="4"/>
    </row>
    <row r="328" spans="5:33" ht="12.75">
      <c r="E328" s="148"/>
      <c r="F328" s="148"/>
      <c r="G328" s="148"/>
      <c r="H328" s="148"/>
      <c r="AF328" s="4"/>
      <c r="AG328" s="4"/>
    </row>
    <row r="329" spans="5:33" ht="12.75">
      <c r="E329" s="148"/>
      <c r="F329" s="148"/>
      <c r="G329" s="148"/>
      <c r="H329" s="148"/>
      <c r="AF329" s="4"/>
      <c r="AG329" s="4"/>
    </row>
    <row r="330" spans="5:33" ht="12.75">
      <c r="E330" s="148"/>
      <c r="F330" s="148"/>
      <c r="G330" s="148"/>
      <c r="H330" s="148"/>
      <c r="AF330" s="4"/>
      <c r="AG330" s="4"/>
    </row>
    <row r="331" spans="5:33" ht="12.75">
      <c r="E331" s="148"/>
      <c r="F331" s="148"/>
      <c r="G331" s="148"/>
      <c r="H331" s="148"/>
      <c r="AF331" s="4"/>
      <c r="AG331" s="4"/>
    </row>
    <row r="332" spans="5:33" ht="12.75">
      <c r="E332" s="148"/>
      <c r="F332" s="148"/>
      <c r="G332" s="148"/>
      <c r="H332" s="148"/>
      <c r="AF332" s="4"/>
      <c r="AG332" s="4"/>
    </row>
    <row r="333" spans="5:33" ht="12.75">
      <c r="E333" s="148"/>
      <c r="F333" s="148"/>
      <c r="G333" s="148"/>
      <c r="H333" s="148"/>
      <c r="AF333" s="4"/>
      <c r="AG333" s="4"/>
    </row>
    <row r="334" spans="5:33" ht="12.75">
      <c r="E334" s="148"/>
      <c r="F334" s="148"/>
      <c r="G334" s="148"/>
      <c r="H334" s="148"/>
      <c r="AF334" s="4"/>
      <c r="AG334" s="4"/>
    </row>
    <row r="335" spans="5:33" ht="12.75">
      <c r="E335" s="148"/>
      <c r="F335" s="148"/>
      <c r="G335" s="148"/>
      <c r="H335" s="148"/>
      <c r="AF335" s="4"/>
      <c r="AG335" s="4"/>
    </row>
    <row r="336" spans="5:33" ht="12.75">
      <c r="E336" s="148"/>
      <c r="F336" s="148"/>
      <c r="G336" s="148"/>
      <c r="H336" s="148"/>
      <c r="AF336" s="4"/>
      <c r="AG336" s="4"/>
    </row>
    <row r="337" spans="5:33" ht="12.75">
      <c r="E337" s="148"/>
      <c r="F337" s="148"/>
      <c r="G337" s="148"/>
      <c r="H337" s="148"/>
      <c r="AF337" s="4"/>
      <c r="AG337" s="4"/>
    </row>
    <row r="338" spans="5:33" ht="12.75">
      <c r="E338" s="148"/>
      <c r="F338" s="148"/>
      <c r="G338" s="148"/>
      <c r="H338" s="148"/>
      <c r="AF338" s="4"/>
      <c r="AG338" s="4"/>
    </row>
    <row r="339" spans="5:33" ht="12.75">
      <c r="E339" s="148"/>
      <c r="F339" s="148"/>
      <c r="G339" s="148"/>
      <c r="H339" s="148"/>
      <c r="AF339" s="4"/>
      <c r="AG339" s="4"/>
    </row>
    <row r="340" spans="5:33" ht="12.75">
      <c r="E340" s="148"/>
      <c r="F340" s="148"/>
      <c r="G340" s="148"/>
      <c r="H340" s="148"/>
      <c r="AF340" s="4"/>
      <c r="AG340" s="4"/>
    </row>
    <row r="341" spans="5:33" ht="12.75">
      <c r="E341" s="148"/>
      <c r="F341" s="148"/>
      <c r="G341" s="148"/>
      <c r="H341" s="148"/>
      <c r="AF341" s="4"/>
      <c r="AG341" s="4"/>
    </row>
    <row r="342" spans="5:33" ht="12.75">
      <c r="E342" s="148"/>
      <c r="F342" s="148"/>
      <c r="G342" s="148"/>
      <c r="H342" s="148"/>
      <c r="AF342" s="4"/>
      <c r="AG342" s="4"/>
    </row>
    <row r="343" spans="5:33" ht="12.75">
      <c r="E343" s="148"/>
      <c r="F343" s="148"/>
      <c r="G343" s="148"/>
      <c r="H343" s="148"/>
      <c r="AF343" s="4"/>
      <c r="AG343" s="4"/>
    </row>
    <row r="344" spans="5:33" ht="12.75">
      <c r="E344" s="148"/>
      <c r="F344" s="148"/>
      <c r="G344" s="148"/>
      <c r="H344" s="148"/>
      <c r="AF344" s="4"/>
      <c r="AG344" s="4"/>
    </row>
    <row r="345" spans="5:33" ht="12.75">
      <c r="E345" s="148"/>
      <c r="F345" s="148"/>
      <c r="G345" s="148"/>
      <c r="H345" s="148"/>
      <c r="AF345" s="4"/>
      <c r="AG345" s="4"/>
    </row>
    <row r="346" spans="5:33" ht="12.75">
      <c r="E346" s="148"/>
      <c r="F346" s="148"/>
      <c r="G346" s="148"/>
      <c r="H346" s="148"/>
      <c r="AF346" s="4"/>
      <c r="AG346" s="4"/>
    </row>
    <row r="347" spans="5:33" ht="12.75">
      <c r="E347" s="148"/>
      <c r="F347" s="148"/>
      <c r="G347" s="148"/>
      <c r="H347" s="148"/>
      <c r="AF347" s="4"/>
      <c r="AG347" s="4"/>
    </row>
    <row r="348" spans="5:33" ht="12.75">
      <c r="E348" s="148"/>
      <c r="F348" s="148"/>
      <c r="G348" s="148"/>
      <c r="H348" s="148"/>
      <c r="AF348" s="4"/>
      <c r="AG348" s="4"/>
    </row>
    <row r="349" spans="5:33" ht="12.75">
      <c r="E349" s="148"/>
      <c r="F349" s="148"/>
      <c r="G349" s="148"/>
      <c r="H349" s="148"/>
      <c r="AF349" s="4"/>
      <c r="AG349" s="4"/>
    </row>
    <row r="350" spans="5:33" ht="12.75">
      <c r="E350" s="148"/>
      <c r="F350" s="148"/>
      <c r="G350" s="148"/>
      <c r="H350" s="148"/>
      <c r="AF350" s="4"/>
      <c r="AG350" s="4"/>
    </row>
    <row r="351" spans="5:33" ht="12.75">
      <c r="E351" s="148"/>
      <c r="F351" s="148"/>
      <c r="G351" s="148"/>
      <c r="H351" s="148"/>
      <c r="AF351" s="4"/>
      <c r="AG351" s="4"/>
    </row>
    <row r="352" spans="5:33" ht="12.75">
      <c r="E352" s="148"/>
      <c r="F352" s="148"/>
      <c r="G352" s="148"/>
      <c r="H352" s="148"/>
      <c r="AF352" s="4"/>
      <c r="AG352" s="4"/>
    </row>
    <row r="353" spans="5:33" ht="12.75">
      <c r="E353" s="148"/>
      <c r="F353" s="148"/>
      <c r="G353" s="148"/>
      <c r="H353" s="148"/>
      <c r="AF353" s="4"/>
      <c r="AG353" s="4"/>
    </row>
    <row r="354" spans="5:33" ht="12.75">
      <c r="E354" s="148"/>
      <c r="F354" s="148"/>
      <c r="G354" s="148"/>
      <c r="H354" s="148"/>
      <c r="AF354" s="4"/>
      <c r="AG354" s="4"/>
    </row>
    <row r="355" spans="5:33" ht="12.75">
      <c r="E355" s="148"/>
      <c r="F355" s="148"/>
      <c r="G355" s="148"/>
      <c r="H355" s="148"/>
      <c r="AF355" s="4"/>
      <c r="AG355" s="4"/>
    </row>
    <row r="356" spans="5:33" ht="12.75">
      <c r="E356" s="148"/>
      <c r="F356" s="148"/>
      <c r="G356" s="148"/>
      <c r="H356" s="148"/>
      <c r="AF356" s="4"/>
      <c r="AG356" s="4"/>
    </row>
    <row r="357" spans="5:33" ht="12.75">
      <c r="E357" s="148"/>
      <c r="F357" s="148"/>
      <c r="G357" s="148"/>
      <c r="H357" s="148"/>
      <c r="AF357" s="4"/>
      <c r="AG357" s="4"/>
    </row>
    <row r="358" spans="5:33" ht="12.75">
      <c r="E358" s="148"/>
      <c r="F358" s="148"/>
      <c r="G358" s="148"/>
      <c r="H358" s="148"/>
      <c r="AF358" s="4"/>
      <c r="AG358" s="4"/>
    </row>
    <row r="359" spans="5:33" ht="12.75">
      <c r="E359" s="148"/>
      <c r="F359" s="148"/>
      <c r="G359" s="148"/>
      <c r="H359" s="148"/>
      <c r="AF359" s="4"/>
      <c r="AG359" s="4"/>
    </row>
    <row r="360" spans="5:33" ht="12.75">
      <c r="E360" s="148"/>
      <c r="F360" s="148"/>
      <c r="G360" s="148"/>
      <c r="H360" s="148"/>
      <c r="AF360" s="4"/>
      <c r="AG360" s="4"/>
    </row>
    <row r="361" spans="5:33" ht="12.75">
      <c r="E361" s="148"/>
      <c r="F361" s="148"/>
      <c r="G361" s="148"/>
      <c r="H361" s="148"/>
      <c r="AF361" s="4"/>
      <c r="AG361" s="4"/>
    </row>
    <row r="362" spans="5:33" ht="12.75">
      <c r="E362" s="148"/>
      <c r="F362" s="148"/>
      <c r="G362" s="148"/>
      <c r="H362" s="148"/>
      <c r="AF362" s="4"/>
      <c r="AG362" s="4"/>
    </row>
    <row r="363" spans="5:33" ht="12.75">
      <c r="E363" s="148"/>
      <c r="F363" s="148"/>
      <c r="G363" s="148"/>
      <c r="H363" s="148"/>
      <c r="AF363" s="4"/>
      <c r="AG363" s="4"/>
    </row>
    <row r="364" spans="5:33" ht="12.75">
      <c r="E364" s="148"/>
      <c r="F364" s="148"/>
      <c r="G364" s="148"/>
      <c r="H364" s="148"/>
      <c r="AF364" s="4"/>
      <c r="AG364" s="4"/>
    </row>
    <row r="365" spans="5:33" ht="12.75">
      <c r="E365" s="148"/>
      <c r="F365" s="148"/>
      <c r="G365" s="148"/>
      <c r="H365" s="148"/>
      <c r="AF365" s="4"/>
      <c r="AG365" s="4"/>
    </row>
    <row r="366" spans="5:33" ht="12.75">
      <c r="E366" s="148"/>
      <c r="F366" s="148"/>
      <c r="G366" s="148"/>
      <c r="H366" s="148"/>
      <c r="AF366" s="4"/>
      <c r="AG366" s="4"/>
    </row>
    <row r="367" spans="5:33" ht="12.75">
      <c r="E367" s="148"/>
      <c r="F367" s="148"/>
      <c r="G367" s="148"/>
      <c r="H367" s="148"/>
      <c r="AF367" s="4"/>
      <c r="AG367" s="4"/>
    </row>
    <row r="368" spans="5:33" ht="12.75">
      <c r="E368" s="148"/>
      <c r="F368" s="148"/>
      <c r="G368" s="148"/>
      <c r="H368" s="148"/>
      <c r="AF368" s="4"/>
      <c r="AG368" s="4"/>
    </row>
    <row r="369" spans="5:33" ht="12.75">
      <c r="E369" s="148"/>
      <c r="F369" s="148"/>
      <c r="G369" s="148"/>
      <c r="H369" s="148"/>
      <c r="AF369" s="4"/>
      <c r="AG369" s="4"/>
    </row>
    <row r="370" spans="5:33" ht="12.75">
      <c r="E370" s="148"/>
      <c r="F370" s="148"/>
      <c r="G370" s="148"/>
      <c r="H370" s="148"/>
      <c r="AF370" s="4"/>
      <c r="AG370" s="4"/>
    </row>
    <row r="371" spans="5:33" ht="12.75">
      <c r="E371" s="148"/>
      <c r="F371" s="148"/>
      <c r="G371" s="148"/>
      <c r="H371" s="148"/>
      <c r="AF371" s="4"/>
      <c r="AG371" s="4"/>
    </row>
    <row r="372" spans="5:33" ht="12.75">
      <c r="E372" s="148"/>
      <c r="F372" s="148"/>
      <c r="G372" s="148"/>
      <c r="H372" s="148"/>
      <c r="AF372" s="4"/>
      <c r="AG372" s="4"/>
    </row>
    <row r="373" spans="5:33" ht="12.75">
      <c r="E373" s="148"/>
      <c r="F373" s="148"/>
      <c r="G373" s="148"/>
      <c r="H373" s="148"/>
      <c r="AF373" s="4"/>
      <c r="AG373" s="4"/>
    </row>
    <row r="374" spans="5:33" ht="12.75">
      <c r="E374" s="148"/>
      <c r="F374" s="148"/>
      <c r="G374" s="148"/>
      <c r="H374" s="148"/>
      <c r="AF374" s="4"/>
      <c r="AG374" s="4"/>
    </row>
    <row r="375" spans="5:33" ht="12.75">
      <c r="E375" s="148"/>
      <c r="F375" s="148"/>
      <c r="G375" s="148"/>
      <c r="H375" s="148"/>
      <c r="AF375" s="4"/>
      <c r="AG375" s="4"/>
    </row>
    <row r="376" spans="5:33" ht="12.75">
      <c r="E376" s="148"/>
      <c r="F376" s="148"/>
      <c r="G376" s="148"/>
      <c r="H376" s="148"/>
      <c r="AF376" s="4"/>
      <c r="AG376" s="4"/>
    </row>
    <row r="377" spans="5:33" ht="12.75">
      <c r="E377" s="148"/>
      <c r="F377" s="148"/>
      <c r="G377" s="148"/>
      <c r="H377" s="148"/>
      <c r="AF377" s="4"/>
      <c r="AG377" s="4"/>
    </row>
    <row r="378" spans="5:33" ht="12.75">
      <c r="E378" s="148"/>
      <c r="F378" s="148"/>
      <c r="G378" s="148"/>
      <c r="H378" s="148"/>
      <c r="AF378" s="4"/>
      <c r="AG378" s="4"/>
    </row>
    <row r="379" spans="5:33" ht="12.75">
      <c r="E379" s="148"/>
      <c r="F379" s="148"/>
      <c r="G379" s="148"/>
      <c r="H379" s="148"/>
      <c r="AF379" s="4"/>
      <c r="AG379" s="4"/>
    </row>
    <row r="380" spans="5:33" ht="12.75">
      <c r="E380" s="148"/>
      <c r="F380" s="148"/>
      <c r="G380" s="148"/>
      <c r="H380" s="148"/>
      <c r="AF380" s="4"/>
      <c r="AG380" s="4"/>
    </row>
    <row r="381" spans="5:33" ht="12.75">
      <c r="E381" s="148"/>
      <c r="F381" s="148"/>
      <c r="G381" s="148"/>
      <c r="H381" s="148"/>
      <c r="AF381" s="4"/>
      <c r="AG381" s="4"/>
    </row>
    <row r="382" spans="5:33" ht="12.75">
      <c r="E382" s="148"/>
      <c r="F382" s="148"/>
      <c r="G382" s="148"/>
      <c r="H382" s="148"/>
      <c r="AF382" s="4"/>
      <c r="AG382" s="4"/>
    </row>
    <row r="383" spans="5:33" ht="12.75">
      <c r="E383" s="148"/>
      <c r="F383" s="148"/>
      <c r="G383" s="148"/>
      <c r="H383" s="148"/>
      <c r="AF383" s="4"/>
      <c r="AG383" s="4"/>
    </row>
    <row r="384" spans="5:33" ht="12.75">
      <c r="E384" s="148"/>
      <c r="F384" s="148"/>
      <c r="G384" s="148"/>
      <c r="H384" s="148"/>
      <c r="AF384" s="4"/>
      <c r="AG384" s="4"/>
    </row>
    <row r="385" spans="5:33" ht="12.75">
      <c r="E385" s="148"/>
      <c r="F385" s="148"/>
      <c r="G385" s="148"/>
      <c r="H385" s="148"/>
      <c r="AF385" s="4"/>
      <c r="AG385" s="4"/>
    </row>
    <row r="386" spans="5:33" ht="12.75">
      <c r="E386" s="148"/>
      <c r="F386" s="148"/>
      <c r="G386" s="148"/>
      <c r="H386" s="148"/>
      <c r="AF386" s="4"/>
      <c r="AG386" s="4"/>
    </row>
    <row r="387" spans="5:33" ht="12.75">
      <c r="E387" s="148"/>
      <c r="F387" s="148"/>
      <c r="G387" s="148"/>
      <c r="H387" s="148"/>
      <c r="AF387" s="4"/>
      <c r="AG387" s="4"/>
    </row>
    <row r="388" spans="5:33" ht="12.75">
      <c r="E388" s="148"/>
      <c r="F388" s="148"/>
      <c r="G388" s="148"/>
      <c r="H388" s="148"/>
      <c r="AF388" s="4"/>
      <c r="AG388" s="4"/>
    </row>
    <row r="389" spans="5:33" ht="12.75">
      <c r="E389" s="148"/>
      <c r="F389" s="148"/>
      <c r="G389" s="148"/>
      <c r="H389" s="148"/>
      <c r="AF389" s="4"/>
      <c r="AG389" s="4"/>
    </row>
    <row r="390" spans="5:33" ht="12.75">
      <c r="E390" s="148"/>
      <c r="F390" s="148"/>
      <c r="G390" s="148"/>
      <c r="H390" s="148"/>
      <c r="AF390" s="4"/>
      <c r="AG390" s="4"/>
    </row>
    <row r="391" spans="5:33" ht="12.75">
      <c r="E391" s="148"/>
      <c r="F391" s="148"/>
      <c r="G391" s="148"/>
      <c r="H391" s="148"/>
      <c r="AF391" s="4"/>
      <c r="AG391" s="4"/>
    </row>
    <row r="392" spans="5:33" ht="12.75">
      <c r="E392" s="148"/>
      <c r="F392" s="148"/>
      <c r="G392" s="148"/>
      <c r="H392" s="148"/>
      <c r="AF392" s="4"/>
      <c r="AG392" s="4"/>
    </row>
    <row r="393" spans="5:33" ht="12.75">
      <c r="E393" s="148"/>
      <c r="F393" s="148"/>
      <c r="G393" s="148"/>
      <c r="H393" s="148"/>
      <c r="AF393" s="4"/>
      <c r="AG393" s="4"/>
    </row>
    <row r="394" spans="5:33" ht="12.75">
      <c r="E394" s="148"/>
      <c r="F394" s="148"/>
      <c r="G394" s="148"/>
      <c r="H394" s="148"/>
      <c r="AF394" s="4"/>
      <c r="AG394" s="4"/>
    </row>
    <row r="395" spans="5:33" ht="12.75">
      <c r="E395" s="148"/>
      <c r="F395" s="148"/>
      <c r="G395" s="148"/>
      <c r="H395" s="148"/>
      <c r="AF395" s="4"/>
      <c r="AG395" s="4"/>
    </row>
    <row r="396" spans="5:33" ht="12.75">
      <c r="E396" s="148"/>
      <c r="F396" s="148"/>
      <c r="G396" s="148"/>
      <c r="H396" s="148"/>
      <c r="AF396" s="4"/>
      <c r="AG396" s="4"/>
    </row>
    <row r="397" spans="5:33" ht="12.75">
      <c r="E397" s="148"/>
      <c r="F397" s="148"/>
      <c r="G397" s="148"/>
      <c r="H397" s="148"/>
      <c r="AF397" s="4"/>
      <c r="AG397" s="4"/>
    </row>
    <row r="398" spans="5:33" ht="12.75">
      <c r="E398" s="148"/>
      <c r="F398" s="148"/>
      <c r="G398" s="148"/>
      <c r="H398" s="148"/>
      <c r="AF398" s="4"/>
      <c r="AG398" s="4"/>
    </row>
    <row r="399" spans="5:33" ht="12.75">
      <c r="E399" s="148"/>
      <c r="F399" s="148"/>
      <c r="G399" s="148"/>
      <c r="H399" s="148"/>
      <c r="AF399" s="4"/>
      <c r="AG399" s="4"/>
    </row>
    <row r="400" spans="5:33" ht="12.75">
      <c r="E400" s="148"/>
      <c r="F400" s="148"/>
      <c r="G400" s="148"/>
      <c r="H400" s="148"/>
      <c r="AF400" s="4"/>
      <c r="AG400" s="4"/>
    </row>
    <row r="401" spans="5:33" ht="12.75">
      <c r="E401" s="148"/>
      <c r="F401" s="148"/>
      <c r="G401" s="148"/>
      <c r="H401" s="148"/>
      <c r="AF401" s="4"/>
      <c r="AG401" s="4"/>
    </row>
    <row r="402" spans="5:33" ht="12.75">
      <c r="E402" s="148"/>
      <c r="F402" s="148"/>
      <c r="G402" s="148"/>
      <c r="H402" s="148"/>
      <c r="AF402" s="4"/>
      <c r="AG402" s="4"/>
    </row>
    <row r="403" spans="5:33" ht="12.75">
      <c r="E403" s="148"/>
      <c r="F403" s="148"/>
      <c r="G403" s="148"/>
      <c r="H403" s="148"/>
      <c r="AF403" s="4"/>
      <c r="AG403" s="4"/>
    </row>
    <row r="404" spans="5:33" ht="12.75">
      <c r="E404" s="148"/>
      <c r="F404" s="148"/>
      <c r="G404" s="148"/>
      <c r="H404" s="148"/>
      <c r="AF404" s="4"/>
      <c r="AG404" s="4"/>
    </row>
    <row r="405" spans="5:33" ht="12.75">
      <c r="E405" s="148"/>
      <c r="F405" s="148"/>
      <c r="G405" s="148"/>
      <c r="H405" s="148"/>
      <c r="AF405" s="4"/>
      <c r="AG405" s="4"/>
    </row>
    <row r="406" spans="5:33" ht="12.75">
      <c r="E406" s="148"/>
      <c r="F406" s="148"/>
      <c r="G406" s="148"/>
      <c r="H406" s="148"/>
      <c r="AF406" s="4"/>
      <c r="AG406" s="4"/>
    </row>
    <row r="407" spans="5:33" ht="12.75">
      <c r="E407" s="148"/>
      <c r="F407" s="148"/>
      <c r="G407" s="148"/>
      <c r="H407" s="148"/>
      <c r="AF407" s="4"/>
      <c r="AG407" s="4"/>
    </row>
    <row r="408" spans="5:33" ht="12.75">
      <c r="E408" s="148"/>
      <c r="F408" s="148"/>
      <c r="G408" s="148"/>
      <c r="H408" s="148"/>
      <c r="AF408" s="4"/>
      <c r="AG408" s="4"/>
    </row>
    <row r="409" spans="5:33" ht="12.75">
      <c r="E409" s="148"/>
      <c r="F409" s="148"/>
      <c r="G409" s="148"/>
      <c r="H409" s="148"/>
      <c r="AF409" s="4"/>
      <c r="AG409" s="4"/>
    </row>
    <row r="410" spans="5:33" ht="12.75">
      <c r="E410" s="148"/>
      <c r="F410" s="148"/>
      <c r="G410" s="148"/>
      <c r="H410" s="148"/>
      <c r="AF410" s="4"/>
      <c r="AG410" s="4"/>
    </row>
    <row r="411" spans="5:33" ht="12.75">
      <c r="E411" s="148"/>
      <c r="F411" s="148"/>
      <c r="G411" s="148"/>
      <c r="H411" s="148"/>
      <c r="AF411" s="4"/>
      <c r="AG411" s="4"/>
    </row>
    <row r="412" spans="5:33" ht="12.75">
      <c r="E412" s="148"/>
      <c r="F412" s="148"/>
      <c r="G412" s="148"/>
      <c r="H412" s="148"/>
      <c r="AF412" s="4"/>
      <c r="AG412" s="4"/>
    </row>
    <row r="413" spans="5:33" ht="12.75">
      <c r="E413" s="148"/>
      <c r="F413" s="148"/>
      <c r="G413" s="148"/>
      <c r="H413" s="148"/>
      <c r="AF413" s="4"/>
      <c r="AG413" s="4"/>
    </row>
    <row r="414" spans="5:33" ht="12.75">
      <c r="E414" s="148"/>
      <c r="F414" s="148"/>
      <c r="G414" s="148"/>
      <c r="H414" s="148"/>
      <c r="AF414" s="4"/>
      <c r="AG414" s="4"/>
    </row>
    <row r="415" spans="5:33" ht="12.75">
      <c r="E415" s="148"/>
      <c r="F415" s="148"/>
      <c r="G415" s="148"/>
      <c r="H415" s="148"/>
      <c r="AF415" s="4"/>
      <c r="AG415" s="4"/>
    </row>
    <row r="416" spans="5:33" ht="12.75">
      <c r="E416" s="148"/>
      <c r="F416" s="148"/>
      <c r="G416" s="148"/>
      <c r="H416" s="148"/>
      <c r="AF416" s="4"/>
      <c r="AG416" s="4"/>
    </row>
    <row r="417" spans="5:33" ht="12.75">
      <c r="E417" s="148"/>
      <c r="F417" s="148"/>
      <c r="G417" s="148"/>
      <c r="H417" s="148"/>
      <c r="AF417" s="4"/>
      <c r="AG417" s="4"/>
    </row>
    <row r="418" spans="5:33" ht="12.75">
      <c r="E418" s="148"/>
      <c r="F418" s="148"/>
      <c r="G418" s="148"/>
      <c r="H418" s="148"/>
      <c r="AF418" s="4"/>
      <c r="AG418" s="4"/>
    </row>
    <row r="419" spans="5:33" ht="12.75">
      <c r="E419" s="148"/>
      <c r="F419" s="148"/>
      <c r="G419" s="148"/>
      <c r="H419" s="148"/>
      <c r="AF419" s="4"/>
      <c r="AG419" s="4"/>
    </row>
    <row r="420" spans="5:33" ht="12.75">
      <c r="E420" s="148"/>
      <c r="F420" s="148"/>
      <c r="G420" s="148"/>
      <c r="H420" s="148"/>
      <c r="AF420" s="4"/>
      <c r="AG420" s="4"/>
    </row>
    <row r="421" spans="5:33" ht="12.75">
      <c r="E421" s="148"/>
      <c r="F421" s="148"/>
      <c r="G421" s="148"/>
      <c r="H421" s="148"/>
      <c r="AF421" s="4"/>
      <c r="AG421" s="4"/>
    </row>
    <row r="422" spans="5:33" ht="12.75">
      <c r="E422" s="148"/>
      <c r="F422" s="148"/>
      <c r="G422" s="148"/>
      <c r="H422" s="148"/>
      <c r="AF422" s="4"/>
      <c r="AG422" s="4"/>
    </row>
    <row r="423" spans="5:33" ht="12.75">
      <c r="E423" s="148"/>
      <c r="F423" s="148"/>
      <c r="G423" s="148"/>
      <c r="H423" s="148"/>
      <c r="AF423" s="4"/>
      <c r="AG423" s="4"/>
    </row>
    <row r="424" spans="5:33" ht="12.75">
      <c r="E424" s="148"/>
      <c r="F424" s="148"/>
      <c r="G424" s="148"/>
      <c r="H424" s="148"/>
      <c r="AF424" s="4"/>
      <c r="AG424" s="4"/>
    </row>
    <row r="425" spans="5:33" ht="12.75">
      <c r="E425" s="148"/>
      <c r="F425" s="148"/>
      <c r="G425" s="148"/>
      <c r="H425" s="148"/>
      <c r="AF425" s="4"/>
      <c r="AG425" s="4"/>
    </row>
    <row r="426" spans="5:33" ht="12.75">
      <c r="E426" s="148"/>
      <c r="F426" s="148"/>
      <c r="G426" s="148"/>
      <c r="H426" s="148"/>
      <c r="AF426" s="4"/>
      <c r="AG426" s="4"/>
    </row>
    <row r="427" spans="5:33" ht="12.75">
      <c r="E427" s="148"/>
      <c r="F427" s="148"/>
      <c r="G427" s="148"/>
      <c r="H427" s="148"/>
      <c r="AF427" s="4"/>
      <c r="AG427" s="4"/>
    </row>
    <row r="428" spans="5:33" ht="12.75">
      <c r="E428" s="148"/>
      <c r="F428" s="148"/>
      <c r="G428" s="148"/>
      <c r="H428" s="148"/>
      <c r="AF428" s="4"/>
      <c r="AG428" s="4"/>
    </row>
    <row r="429" spans="5:33" ht="12.75">
      <c r="E429" s="148"/>
      <c r="F429" s="148"/>
      <c r="G429" s="148"/>
      <c r="H429" s="148"/>
      <c r="AF429" s="4"/>
      <c r="AG429" s="4"/>
    </row>
    <row r="430" spans="5:33" ht="12.75">
      <c r="E430" s="148"/>
      <c r="F430" s="148"/>
      <c r="G430" s="148"/>
      <c r="H430" s="148"/>
      <c r="AF430" s="4"/>
      <c r="AG430" s="4"/>
    </row>
    <row r="431" spans="5:33" ht="12.75">
      <c r="E431" s="148"/>
      <c r="F431" s="148"/>
      <c r="G431" s="148"/>
      <c r="H431" s="148"/>
      <c r="AF431" s="4"/>
      <c r="AG431" s="4"/>
    </row>
    <row r="432" spans="5:33" ht="12.75">
      <c r="E432" s="148"/>
      <c r="F432" s="148"/>
      <c r="G432" s="148"/>
      <c r="H432" s="148"/>
      <c r="AF432" s="4"/>
      <c r="AG432" s="4"/>
    </row>
    <row r="433" spans="5:33" ht="12.75">
      <c r="E433" s="148"/>
      <c r="F433" s="148"/>
      <c r="G433" s="148"/>
      <c r="H433" s="148"/>
      <c r="AF433" s="4"/>
      <c r="AG433" s="4"/>
    </row>
    <row r="434" spans="5:33" ht="12.75">
      <c r="E434" s="148"/>
      <c r="F434" s="148"/>
      <c r="G434" s="148"/>
      <c r="H434" s="148"/>
      <c r="AF434" s="4"/>
      <c r="AG434" s="4"/>
    </row>
    <row r="435" spans="5:33" ht="12.75">
      <c r="E435" s="148"/>
      <c r="F435" s="148"/>
      <c r="G435" s="148"/>
      <c r="H435" s="148"/>
      <c r="AF435" s="4"/>
      <c r="AG435" s="4"/>
    </row>
    <row r="436" spans="5:33" ht="12.75">
      <c r="E436" s="148"/>
      <c r="F436" s="148"/>
      <c r="G436" s="148"/>
      <c r="H436" s="148"/>
      <c r="AF436" s="4"/>
      <c r="AG436" s="4"/>
    </row>
    <row r="437" spans="5:33" ht="12.75">
      <c r="E437" s="148"/>
      <c r="F437" s="148"/>
      <c r="G437" s="148"/>
      <c r="H437" s="148"/>
      <c r="AF437" s="4"/>
      <c r="AG437" s="4"/>
    </row>
    <row r="438" spans="5:33" ht="12.75">
      <c r="E438" s="148"/>
      <c r="F438" s="148"/>
      <c r="G438" s="148"/>
      <c r="H438" s="148"/>
      <c r="AF438" s="4"/>
      <c r="AG438" s="4"/>
    </row>
    <row r="439" spans="5:33" ht="12.75">
      <c r="E439" s="148"/>
      <c r="F439" s="148"/>
      <c r="G439" s="148"/>
      <c r="H439" s="148"/>
      <c r="AF439" s="4"/>
      <c r="AG439" s="4"/>
    </row>
    <row r="440" spans="5:33" ht="12.75">
      <c r="E440" s="148"/>
      <c r="F440" s="148"/>
      <c r="G440" s="148"/>
      <c r="H440" s="148"/>
      <c r="AF440" s="4"/>
      <c r="AG440" s="4"/>
    </row>
    <row r="441" spans="5:33" ht="12.75">
      <c r="E441" s="148"/>
      <c r="F441" s="148"/>
      <c r="G441" s="148"/>
      <c r="H441" s="148"/>
      <c r="AF441" s="4"/>
      <c r="AG441" s="4"/>
    </row>
    <row r="442" spans="5:33" ht="12.75">
      <c r="E442" s="148"/>
      <c r="F442" s="148"/>
      <c r="G442" s="148"/>
      <c r="H442" s="148"/>
      <c r="AF442" s="4"/>
      <c r="AG442" s="4"/>
    </row>
    <row r="443" spans="5:33" ht="12.75">
      <c r="E443" s="148"/>
      <c r="F443" s="148"/>
      <c r="G443" s="148"/>
      <c r="H443" s="148"/>
      <c r="AF443" s="4"/>
      <c r="AG443" s="4"/>
    </row>
    <row r="444" spans="5:33" ht="12.75">
      <c r="E444" s="148"/>
      <c r="F444" s="148"/>
      <c r="G444" s="148"/>
      <c r="H444" s="148"/>
      <c r="AF444" s="4"/>
      <c r="AG444" s="4"/>
    </row>
    <row r="445" spans="5:33" ht="12.75">
      <c r="E445" s="148"/>
      <c r="F445" s="148"/>
      <c r="G445" s="148"/>
      <c r="H445" s="148"/>
      <c r="AF445" s="4"/>
      <c r="AG445" s="4"/>
    </row>
    <row r="446" spans="5:33" ht="12.75">
      <c r="E446" s="148"/>
      <c r="F446" s="148"/>
      <c r="G446" s="148"/>
      <c r="H446" s="148"/>
      <c r="AF446" s="4"/>
      <c r="AG446" s="4"/>
    </row>
    <row r="447" spans="5:33" ht="12.75">
      <c r="E447" s="148"/>
      <c r="F447" s="148"/>
      <c r="G447" s="148"/>
      <c r="H447" s="148"/>
      <c r="AF447" s="4"/>
      <c r="AG447" s="4"/>
    </row>
    <row r="448" spans="5:33" ht="12.75">
      <c r="E448" s="148"/>
      <c r="F448" s="148"/>
      <c r="G448" s="148"/>
      <c r="H448" s="148"/>
      <c r="AF448" s="4"/>
      <c r="AG448" s="4"/>
    </row>
    <row r="449" spans="5:33" ht="12.75">
      <c r="E449" s="148"/>
      <c r="F449" s="148"/>
      <c r="G449" s="148"/>
      <c r="H449" s="148"/>
      <c r="AF449" s="4"/>
      <c r="AG449" s="4"/>
    </row>
    <row r="450" spans="5:33" ht="12.75">
      <c r="E450" s="148"/>
      <c r="F450" s="148"/>
      <c r="G450" s="148"/>
      <c r="H450" s="148"/>
      <c r="AF450" s="4"/>
      <c r="AG450" s="4"/>
    </row>
    <row r="451" spans="5:33" ht="12.75">
      <c r="E451" s="148"/>
      <c r="F451" s="148"/>
      <c r="G451" s="148"/>
      <c r="H451" s="148"/>
      <c r="AF451" s="4"/>
      <c r="AG451" s="4"/>
    </row>
    <row r="452" spans="5:33" ht="12.75">
      <c r="E452" s="148"/>
      <c r="F452" s="148"/>
      <c r="G452" s="148"/>
      <c r="H452" s="148"/>
      <c r="AF452" s="4"/>
      <c r="AG452" s="4"/>
    </row>
    <row r="453" spans="5:33" ht="12.75">
      <c r="E453" s="148"/>
      <c r="F453" s="148"/>
      <c r="G453" s="148"/>
      <c r="H453" s="148"/>
      <c r="AF453" s="4"/>
      <c r="AG453" s="4"/>
    </row>
    <row r="454" spans="5:33" ht="12.75">
      <c r="E454" s="148"/>
      <c r="F454" s="148"/>
      <c r="G454" s="148"/>
      <c r="H454" s="148"/>
      <c r="AF454" s="4"/>
      <c r="AG454" s="4"/>
    </row>
    <row r="455" spans="5:33" ht="12.75">
      <c r="E455" s="148"/>
      <c r="F455" s="148"/>
      <c r="G455" s="148"/>
      <c r="H455" s="148"/>
      <c r="AF455" s="4"/>
      <c r="AG455" s="4"/>
    </row>
    <row r="456" spans="5:33" ht="12.75">
      <c r="E456" s="148"/>
      <c r="F456" s="148"/>
      <c r="G456" s="148"/>
      <c r="H456" s="148"/>
      <c r="AF456" s="4"/>
      <c r="AG456" s="4"/>
    </row>
    <row r="457" spans="5:33" ht="12.75">
      <c r="E457" s="148"/>
      <c r="F457" s="148"/>
      <c r="G457" s="148"/>
      <c r="H457" s="148"/>
      <c r="AF457" s="4"/>
      <c r="AG457" s="4"/>
    </row>
    <row r="458" spans="5:33" ht="12.75">
      <c r="E458" s="148"/>
      <c r="F458" s="148"/>
      <c r="G458" s="148"/>
      <c r="H458" s="148"/>
      <c r="AF458" s="4"/>
      <c r="AG458" s="4"/>
    </row>
    <row r="459" spans="5:33" ht="12.75">
      <c r="E459" s="148"/>
      <c r="F459" s="148"/>
      <c r="G459" s="148"/>
      <c r="H459" s="148"/>
      <c r="AF459" s="4"/>
      <c r="AG459" s="4"/>
    </row>
    <row r="460" spans="5:33" ht="12.75">
      <c r="E460" s="148"/>
      <c r="F460" s="148"/>
      <c r="G460" s="148"/>
      <c r="H460" s="148"/>
      <c r="AF460" s="4"/>
      <c r="AG460" s="4"/>
    </row>
    <row r="461" spans="5:33" ht="12.75">
      <c r="E461" s="148"/>
      <c r="F461" s="148"/>
      <c r="G461" s="148"/>
      <c r="H461" s="148"/>
      <c r="AF461" s="4"/>
      <c r="AG461" s="4"/>
    </row>
    <row r="462" spans="5:33" ht="12.75">
      <c r="E462" s="148"/>
      <c r="F462" s="148"/>
      <c r="G462" s="148"/>
      <c r="H462" s="148"/>
      <c r="AF462" s="4"/>
      <c r="AG462" s="4"/>
    </row>
    <row r="463" spans="5:33" ht="12.75">
      <c r="E463" s="148"/>
      <c r="F463" s="148"/>
      <c r="G463" s="148"/>
      <c r="H463" s="148"/>
      <c r="AF463" s="4"/>
      <c r="AG463" s="4"/>
    </row>
    <row r="464" spans="5:33" ht="12.75">
      <c r="E464" s="148"/>
      <c r="F464" s="148"/>
      <c r="G464" s="148"/>
      <c r="H464" s="148"/>
      <c r="AF464" s="4"/>
      <c r="AG464" s="4"/>
    </row>
    <row r="465" spans="5:33" ht="12.75">
      <c r="E465" s="148"/>
      <c r="F465" s="148"/>
      <c r="G465" s="148"/>
      <c r="H465" s="148"/>
      <c r="AF465" s="4"/>
      <c r="AG465" s="4"/>
    </row>
    <row r="466" spans="5:33" ht="12.75">
      <c r="E466" s="148"/>
      <c r="F466" s="148"/>
      <c r="G466" s="148"/>
      <c r="H466" s="148"/>
      <c r="AF466" s="4"/>
      <c r="AG466" s="4"/>
    </row>
    <row r="467" spans="5:33" ht="12.75">
      <c r="E467" s="148"/>
      <c r="F467" s="148"/>
      <c r="G467" s="148"/>
      <c r="H467" s="148"/>
      <c r="AF467" s="4"/>
      <c r="AG467" s="4"/>
    </row>
    <row r="468" spans="5:33" ht="12.75">
      <c r="E468" s="148"/>
      <c r="F468" s="148"/>
      <c r="G468" s="148"/>
      <c r="H468" s="148"/>
      <c r="AF468" s="4"/>
      <c r="AG468" s="4"/>
    </row>
    <row r="469" spans="5:33" ht="12.75">
      <c r="E469" s="148"/>
      <c r="F469" s="148"/>
      <c r="G469" s="148"/>
      <c r="H469" s="148"/>
      <c r="AF469" s="4"/>
      <c r="AG469" s="4"/>
    </row>
    <row r="470" spans="5:33" ht="12.75">
      <c r="E470" s="148"/>
      <c r="F470" s="148"/>
      <c r="G470" s="148"/>
      <c r="H470" s="148"/>
      <c r="AF470" s="4"/>
      <c r="AG470" s="4"/>
    </row>
    <row r="471" spans="5:33" ht="12.75">
      <c r="E471" s="148"/>
      <c r="F471" s="148"/>
      <c r="G471" s="148"/>
      <c r="H471" s="148"/>
      <c r="AF471" s="4"/>
      <c r="AG471" s="4"/>
    </row>
    <row r="472" spans="5:33" ht="12.75">
      <c r="E472" s="148"/>
      <c r="F472" s="148"/>
      <c r="G472" s="148"/>
      <c r="H472" s="148"/>
      <c r="AF472" s="4"/>
      <c r="AG472" s="4"/>
    </row>
    <row r="473" spans="5:33" ht="12.75">
      <c r="E473" s="148"/>
      <c r="F473" s="148"/>
      <c r="G473" s="148"/>
      <c r="H473" s="148"/>
      <c r="AF473" s="4"/>
      <c r="AG473" s="4"/>
    </row>
    <row r="474" spans="5:33" ht="12.75">
      <c r="E474" s="148"/>
      <c r="F474" s="148"/>
      <c r="G474" s="148"/>
      <c r="H474" s="148"/>
      <c r="AF474" s="4"/>
      <c r="AG474" s="4"/>
    </row>
    <row r="475" spans="5:33" ht="12.75">
      <c r="E475" s="148"/>
      <c r="F475" s="148"/>
      <c r="G475" s="148"/>
      <c r="H475" s="148"/>
      <c r="AF475" s="4"/>
      <c r="AG475" s="4"/>
    </row>
    <row r="476" spans="5:33" ht="12.75">
      <c r="E476" s="148"/>
      <c r="F476" s="148"/>
      <c r="G476" s="148"/>
      <c r="H476" s="148"/>
      <c r="AF476" s="4"/>
      <c r="AG476" s="4"/>
    </row>
    <row r="477" spans="5:33" ht="12.75">
      <c r="E477" s="148"/>
      <c r="F477" s="148"/>
      <c r="G477" s="148"/>
      <c r="H477" s="148"/>
      <c r="AF477" s="4"/>
      <c r="AG477" s="4"/>
    </row>
    <row r="478" spans="5:33" ht="12.75">
      <c r="E478" s="148"/>
      <c r="F478" s="148"/>
      <c r="G478" s="148"/>
      <c r="H478" s="148"/>
      <c r="AF478" s="4"/>
      <c r="AG478" s="4"/>
    </row>
    <row r="479" spans="5:33" ht="12.75">
      <c r="E479" s="148"/>
      <c r="F479" s="148"/>
      <c r="G479" s="148"/>
      <c r="H479" s="148"/>
      <c r="AF479" s="4"/>
      <c r="AG479" s="4"/>
    </row>
    <row r="480" spans="5:33" ht="12.75">
      <c r="E480" s="148"/>
      <c r="F480" s="148"/>
      <c r="G480" s="148"/>
      <c r="H480" s="148"/>
      <c r="AF480" s="4"/>
      <c r="AG480" s="4"/>
    </row>
    <row r="481" spans="5:33" ht="12.75">
      <c r="E481" s="148"/>
      <c r="F481" s="148"/>
      <c r="G481" s="148"/>
      <c r="H481" s="148"/>
      <c r="AF481" s="4"/>
      <c r="AG481" s="4"/>
    </row>
    <row r="482" spans="5:33" ht="12.75">
      <c r="E482" s="148"/>
      <c r="F482" s="148"/>
      <c r="G482" s="148"/>
      <c r="H482" s="148"/>
      <c r="AF482" s="4"/>
      <c r="AG482" s="4"/>
    </row>
    <row r="483" spans="5:33" ht="12.75">
      <c r="E483" s="148"/>
      <c r="F483" s="148"/>
      <c r="G483" s="148"/>
      <c r="H483" s="148"/>
      <c r="AF483" s="4"/>
      <c r="AG483" s="4"/>
    </row>
    <row r="484" spans="5:33" ht="12.75">
      <c r="E484" s="148"/>
      <c r="F484" s="148"/>
      <c r="G484" s="148"/>
      <c r="H484" s="148"/>
      <c r="AF484" s="4"/>
      <c r="AG484" s="4"/>
    </row>
    <row r="485" spans="5:33" ht="12.75">
      <c r="E485" s="148"/>
      <c r="F485" s="148"/>
      <c r="G485" s="148"/>
      <c r="H485" s="148"/>
      <c r="AF485" s="4"/>
      <c r="AG485" s="4"/>
    </row>
    <row r="486" spans="5:33" ht="12.75">
      <c r="E486" s="148"/>
      <c r="F486" s="148"/>
      <c r="G486" s="148"/>
      <c r="H486" s="148"/>
      <c r="AF486" s="4"/>
      <c r="AG486" s="4"/>
    </row>
    <row r="487" spans="5:33" ht="12.75">
      <c r="E487" s="148"/>
      <c r="F487" s="148"/>
      <c r="G487" s="148"/>
      <c r="H487" s="148"/>
      <c r="AF487" s="4"/>
      <c r="AG487" s="4"/>
    </row>
    <row r="488" spans="5:33" ht="12.75">
      <c r="E488" s="148"/>
      <c r="F488" s="148"/>
      <c r="G488" s="148"/>
      <c r="H488" s="148"/>
      <c r="AF488" s="4"/>
      <c r="AG488" s="4"/>
    </row>
    <row r="489" spans="5:33" ht="12.75">
      <c r="E489" s="148"/>
      <c r="F489" s="148"/>
      <c r="G489" s="148"/>
      <c r="H489" s="148"/>
      <c r="AF489" s="4"/>
      <c r="AG489" s="4"/>
    </row>
    <row r="490" spans="5:33" ht="12.75">
      <c r="E490" s="148"/>
      <c r="F490" s="148"/>
      <c r="G490" s="148"/>
      <c r="H490" s="148"/>
      <c r="AF490" s="4"/>
      <c r="AG490" s="4"/>
    </row>
    <row r="491" spans="5:33" ht="12.75">
      <c r="E491" s="148"/>
      <c r="F491" s="148"/>
      <c r="G491" s="148"/>
      <c r="H491" s="148"/>
      <c r="AF491" s="4"/>
      <c r="AG491" s="4"/>
    </row>
    <row r="492" spans="5:33" ht="12.75">
      <c r="E492" s="148"/>
      <c r="F492" s="148"/>
      <c r="G492" s="148"/>
      <c r="H492" s="148"/>
      <c r="AF492" s="4"/>
      <c r="AG492" s="4"/>
    </row>
    <row r="493" spans="5:33" ht="12.75">
      <c r="E493" s="148"/>
      <c r="F493" s="148"/>
      <c r="G493" s="148"/>
      <c r="H493" s="148"/>
      <c r="AF493" s="4"/>
      <c r="AG493" s="4"/>
    </row>
    <row r="494" spans="5:33" ht="12.75">
      <c r="E494" s="148"/>
      <c r="F494" s="148"/>
      <c r="G494" s="148"/>
      <c r="H494" s="148"/>
      <c r="AF494" s="4"/>
      <c r="AG494" s="4"/>
    </row>
    <row r="495" spans="5:33" ht="12.75">
      <c r="E495" s="148"/>
      <c r="F495" s="148"/>
      <c r="G495" s="148"/>
      <c r="H495" s="148"/>
      <c r="AF495" s="4"/>
      <c r="AG495" s="4"/>
    </row>
    <row r="496" spans="5:33" ht="12.75">
      <c r="E496" s="148"/>
      <c r="F496" s="148"/>
      <c r="G496" s="148"/>
      <c r="H496" s="148"/>
      <c r="AF496" s="4"/>
      <c r="AG496" s="4"/>
    </row>
    <row r="497" spans="5:33" ht="12.75">
      <c r="E497" s="148"/>
      <c r="F497" s="148"/>
      <c r="G497" s="148"/>
      <c r="H497" s="148"/>
      <c r="AF497" s="4"/>
      <c r="AG497" s="4"/>
    </row>
    <row r="498" spans="5:33" ht="12.75">
      <c r="E498" s="148"/>
      <c r="F498" s="148"/>
      <c r="G498" s="148"/>
      <c r="H498" s="148"/>
      <c r="AF498" s="4"/>
      <c r="AG498" s="4"/>
    </row>
    <row r="499" spans="5:33" ht="12.75">
      <c r="E499" s="148"/>
      <c r="F499" s="148"/>
      <c r="G499" s="148"/>
      <c r="H499" s="148"/>
      <c r="AF499" s="4"/>
      <c r="AG499" s="4"/>
    </row>
    <row r="500" spans="5:33" ht="12.75">
      <c r="E500" s="148"/>
      <c r="F500" s="148"/>
      <c r="G500" s="148"/>
      <c r="H500" s="148"/>
      <c r="AF500" s="4"/>
      <c r="AG500" s="4"/>
    </row>
    <row r="501" spans="5:33" ht="12.75">
      <c r="E501" s="148"/>
      <c r="F501" s="148"/>
      <c r="G501" s="148"/>
      <c r="H501" s="148"/>
      <c r="AF501" s="4"/>
      <c r="AG501" s="4"/>
    </row>
    <row r="502" spans="5:33" ht="12.75">
      <c r="E502" s="148"/>
      <c r="F502" s="148"/>
      <c r="G502" s="148"/>
      <c r="H502" s="148"/>
      <c r="AF502" s="4"/>
      <c r="AG502" s="4"/>
    </row>
    <row r="503" spans="5:33" ht="12.75">
      <c r="E503" s="148"/>
      <c r="F503" s="148"/>
      <c r="G503" s="148"/>
      <c r="H503" s="148"/>
      <c r="AF503" s="4"/>
      <c r="AG503" s="4"/>
    </row>
    <row r="504" spans="5:33" ht="12.75">
      <c r="E504" s="148"/>
      <c r="F504" s="148"/>
      <c r="G504" s="148"/>
      <c r="H504" s="148"/>
      <c r="AF504" s="4"/>
      <c r="AG504" s="4"/>
    </row>
    <row r="505" spans="5:33" ht="12.75">
      <c r="E505" s="148"/>
      <c r="F505" s="148"/>
      <c r="G505" s="148"/>
      <c r="H505" s="148"/>
      <c r="AF505" s="4"/>
      <c r="AG505" s="4"/>
    </row>
    <row r="506" spans="5:33" ht="12.75">
      <c r="E506" s="148"/>
      <c r="F506" s="148"/>
      <c r="G506" s="148"/>
      <c r="H506" s="148"/>
      <c r="AF506" s="4"/>
      <c r="AG506" s="4"/>
    </row>
    <row r="507" spans="5:33" ht="12.75">
      <c r="E507" s="148"/>
      <c r="F507" s="148"/>
      <c r="G507" s="148"/>
      <c r="H507" s="148"/>
      <c r="AF507" s="4"/>
      <c r="AG507" s="4"/>
    </row>
    <row r="508" spans="5:33" ht="12.75">
      <c r="E508" s="148"/>
      <c r="F508" s="148"/>
      <c r="G508" s="148"/>
      <c r="H508" s="148"/>
      <c r="AF508" s="4"/>
      <c r="AG508" s="4"/>
    </row>
    <row r="509" spans="5:33" ht="12.75">
      <c r="E509" s="148"/>
      <c r="F509" s="148"/>
      <c r="G509" s="148"/>
      <c r="H509" s="148"/>
      <c r="AF509" s="4"/>
      <c r="AG509" s="4"/>
    </row>
    <row r="510" spans="5:33" ht="12.75">
      <c r="E510" s="148"/>
      <c r="F510" s="148"/>
      <c r="G510" s="148"/>
      <c r="H510" s="148"/>
      <c r="AF510" s="4"/>
      <c r="AG510" s="4"/>
    </row>
    <row r="511" spans="5:33" ht="12.75">
      <c r="E511" s="148"/>
      <c r="F511" s="148"/>
      <c r="G511" s="148"/>
      <c r="H511" s="148"/>
      <c r="AF511" s="4"/>
      <c r="AG511" s="4"/>
    </row>
    <row r="512" spans="5:33" ht="12.75">
      <c r="E512" s="148"/>
      <c r="F512" s="148"/>
      <c r="G512" s="148"/>
      <c r="H512" s="148"/>
      <c r="AF512" s="4"/>
      <c r="AG512" s="4"/>
    </row>
    <row r="513" spans="5:33" ht="12.75">
      <c r="E513" s="148"/>
      <c r="F513" s="148"/>
      <c r="G513" s="148"/>
      <c r="H513" s="148"/>
      <c r="AF513" s="4"/>
      <c r="AG513" s="4"/>
    </row>
    <row r="514" spans="5:33" ht="12.75">
      <c r="E514" s="148"/>
      <c r="F514" s="148"/>
      <c r="G514" s="148"/>
      <c r="H514" s="148"/>
      <c r="AF514" s="4"/>
      <c r="AG514" s="4"/>
    </row>
    <row r="515" spans="5:33" ht="12.75">
      <c r="E515" s="148"/>
      <c r="F515" s="148"/>
      <c r="G515" s="148"/>
      <c r="H515" s="148"/>
      <c r="AF515" s="4"/>
      <c r="AG515" s="4"/>
    </row>
    <row r="516" spans="5:33" ht="12.75">
      <c r="E516" s="148"/>
      <c r="F516" s="148"/>
      <c r="G516" s="148"/>
      <c r="H516" s="148"/>
      <c r="AF516" s="4"/>
      <c r="AG516" s="4"/>
    </row>
    <row r="517" spans="5:33" ht="12.75">
      <c r="E517" s="148"/>
      <c r="F517" s="148"/>
      <c r="G517" s="148"/>
      <c r="H517" s="148"/>
      <c r="AF517" s="4"/>
      <c r="AG517" s="4"/>
    </row>
    <row r="518" spans="5:33" ht="12.75">
      <c r="E518" s="148"/>
      <c r="F518" s="148"/>
      <c r="G518" s="148"/>
      <c r="H518" s="148"/>
      <c r="AF518" s="4"/>
      <c r="AG518" s="4"/>
    </row>
    <row r="519" spans="5:33" ht="12.75">
      <c r="E519" s="148"/>
      <c r="F519" s="148"/>
      <c r="G519" s="148"/>
      <c r="H519" s="148"/>
      <c r="AF519" s="4"/>
      <c r="AG519" s="4"/>
    </row>
    <row r="520" spans="5:33" ht="12.75">
      <c r="E520" s="148"/>
      <c r="F520" s="148"/>
      <c r="G520" s="148"/>
      <c r="H520" s="148"/>
      <c r="AF520" s="4"/>
      <c r="AG520" s="4"/>
    </row>
    <row r="521" spans="5:33" ht="12.75">
      <c r="E521" s="148"/>
      <c r="F521" s="148"/>
      <c r="G521" s="148"/>
      <c r="H521" s="148"/>
      <c r="AF521" s="4"/>
      <c r="AG521" s="4"/>
    </row>
    <row r="522" spans="5:33" ht="12.75">
      <c r="E522" s="148"/>
      <c r="F522" s="148"/>
      <c r="G522" s="148"/>
      <c r="H522" s="148"/>
      <c r="AF522" s="4"/>
      <c r="AG522" s="4"/>
    </row>
    <row r="523" spans="5:33" ht="12.75">
      <c r="E523" s="148"/>
      <c r="F523" s="148"/>
      <c r="G523" s="148"/>
      <c r="H523" s="148"/>
      <c r="AF523" s="4"/>
      <c r="AG523" s="4"/>
    </row>
    <row r="524" spans="5:33" ht="12.75">
      <c r="E524" s="148"/>
      <c r="F524" s="148"/>
      <c r="G524" s="148"/>
      <c r="H524" s="148"/>
      <c r="AF524" s="4"/>
      <c r="AG524" s="4"/>
    </row>
    <row r="525" spans="5:33" ht="12.75">
      <c r="E525" s="148"/>
      <c r="F525" s="148"/>
      <c r="G525" s="148"/>
      <c r="H525" s="148"/>
      <c r="AF525" s="4"/>
      <c r="AG525" s="4"/>
    </row>
    <row r="526" spans="5:33" ht="12.75">
      <c r="E526" s="148"/>
      <c r="F526" s="148"/>
      <c r="G526" s="148"/>
      <c r="H526" s="148"/>
      <c r="AF526" s="4"/>
      <c r="AG526" s="4"/>
    </row>
    <row r="527" spans="5:33" ht="12.75">
      <c r="E527" s="148"/>
      <c r="F527" s="148"/>
      <c r="G527" s="148"/>
      <c r="H527" s="148"/>
      <c r="AF527" s="4"/>
      <c r="AG527" s="4"/>
    </row>
    <row r="528" spans="5:33" ht="12.75">
      <c r="E528" s="148"/>
      <c r="F528" s="148"/>
      <c r="G528" s="148"/>
      <c r="H528" s="148"/>
      <c r="AF528" s="4"/>
      <c r="AG528" s="4"/>
    </row>
    <row r="529" spans="5:33" ht="12.75">
      <c r="E529" s="148"/>
      <c r="F529" s="148"/>
      <c r="G529" s="148"/>
      <c r="H529" s="148"/>
      <c r="AF529" s="4"/>
      <c r="AG529" s="4"/>
    </row>
    <row r="530" spans="5:33" ht="12.75">
      <c r="E530" s="148"/>
      <c r="F530" s="148"/>
      <c r="G530" s="148"/>
      <c r="H530" s="148"/>
      <c r="AF530" s="4"/>
      <c r="AG530" s="4"/>
    </row>
    <row r="531" spans="5:33" ht="12.75">
      <c r="E531" s="148"/>
      <c r="F531" s="148"/>
      <c r="G531" s="148"/>
      <c r="H531" s="148"/>
      <c r="AF531" s="4"/>
      <c r="AG531" s="4"/>
    </row>
    <row r="532" spans="5:33" ht="12.75">
      <c r="E532" s="148"/>
      <c r="F532" s="148"/>
      <c r="G532" s="148"/>
      <c r="H532" s="148"/>
      <c r="AF532" s="4"/>
      <c r="AG532" s="4"/>
    </row>
    <row r="533" spans="5:33" ht="12.75">
      <c r="E533" s="148"/>
      <c r="F533" s="148"/>
      <c r="G533" s="148"/>
      <c r="H533" s="148"/>
      <c r="AF533" s="4"/>
      <c r="AG533" s="4"/>
    </row>
    <row r="534" spans="5:33" ht="12.75">
      <c r="E534" s="148"/>
      <c r="F534" s="148"/>
      <c r="G534" s="148"/>
      <c r="H534" s="148"/>
      <c r="AF534" s="4"/>
      <c r="AG534" s="4"/>
    </row>
    <row r="535" spans="5:33" ht="12.75">
      <c r="E535" s="148"/>
      <c r="F535" s="148"/>
      <c r="G535" s="148"/>
      <c r="H535" s="148"/>
      <c r="AF535" s="4"/>
      <c r="AG535" s="4"/>
    </row>
    <row r="536" spans="5:33" ht="12.75">
      <c r="E536" s="148"/>
      <c r="F536" s="148"/>
      <c r="G536" s="148"/>
      <c r="H536" s="148"/>
      <c r="AF536" s="4"/>
      <c r="AG536" s="4"/>
    </row>
    <row r="537" spans="5:33" ht="12.75">
      <c r="E537" s="148"/>
      <c r="F537" s="148"/>
      <c r="G537" s="148"/>
      <c r="H537" s="148"/>
      <c r="AF537" s="4"/>
      <c r="AG537" s="4"/>
    </row>
    <row r="538" spans="5:33" ht="12.75">
      <c r="E538" s="148"/>
      <c r="F538" s="148"/>
      <c r="G538" s="148"/>
      <c r="H538" s="148"/>
      <c r="AF538" s="4"/>
      <c r="AG538" s="4"/>
    </row>
    <row r="539" spans="5:33" ht="12.75">
      <c r="E539" s="148"/>
      <c r="F539" s="148"/>
      <c r="G539" s="148"/>
      <c r="H539" s="148"/>
      <c r="AF539" s="4"/>
      <c r="AG539" s="4"/>
    </row>
    <row r="540" spans="5:33" ht="12.75">
      <c r="E540" s="148"/>
      <c r="F540" s="148"/>
      <c r="G540" s="148"/>
      <c r="H540" s="148"/>
      <c r="AF540" s="4"/>
      <c r="AG540" s="4"/>
    </row>
    <row r="541" spans="5:33" ht="12.75">
      <c r="E541" s="148"/>
      <c r="F541" s="148"/>
      <c r="G541" s="148"/>
      <c r="H541" s="148"/>
      <c r="AF541" s="4"/>
      <c r="AG541" s="4"/>
    </row>
    <row r="542" spans="5:33" ht="12.75">
      <c r="E542" s="148"/>
      <c r="F542" s="148"/>
      <c r="G542" s="148"/>
      <c r="H542" s="148"/>
      <c r="AF542" s="4"/>
      <c r="AG542" s="4"/>
    </row>
    <row r="543" spans="5:33" ht="12.75">
      <c r="E543" s="148"/>
      <c r="F543" s="148"/>
      <c r="G543" s="148"/>
      <c r="H543" s="148"/>
      <c r="AF543" s="4"/>
      <c r="AG543" s="4"/>
    </row>
    <row r="544" spans="5:33" ht="12.75">
      <c r="E544" s="148"/>
      <c r="F544" s="148"/>
      <c r="G544" s="148"/>
      <c r="H544" s="148"/>
      <c r="AF544" s="4"/>
      <c r="AG544" s="4"/>
    </row>
    <row r="545" spans="5:33" ht="12.75">
      <c r="E545" s="148"/>
      <c r="F545" s="148"/>
      <c r="G545" s="148"/>
      <c r="H545" s="148"/>
      <c r="AF545" s="4"/>
      <c r="AG545" s="4"/>
    </row>
    <row r="546" spans="5:33" ht="12.75">
      <c r="E546" s="148"/>
      <c r="F546" s="148"/>
      <c r="G546" s="148"/>
      <c r="H546" s="148"/>
      <c r="AF546" s="4"/>
      <c r="AG546" s="4"/>
    </row>
    <row r="547" spans="5:33" ht="12.75">
      <c r="E547" s="148"/>
      <c r="F547" s="148"/>
      <c r="G547" s="148"/>
      <c r="H547" s="148"/>
      <c r="AF547" s="4"/>
      <c r="AG547" s="4"/>
    </row>
    <row r="548" spans="5:33" ht="12.75">
      <c r="E548" s="148"/>
      <c r="F548" s="148"/>
      <c r="G548" s="148"/>
      <c r="H548" s="148"/>
      <c r="AF548" s="4"/>
      <c r="AG548" s="4"/>
    </row>
    <row r="549" spans="5:33" ht="12.75">
      <c r="E549" s="148"/>
      <c r="F549" s="148"/>
      <c r="G549" s="148"/>
      <c r="H549" s="148"/>
      <c r="AF549" s="4"/>
      <c r="AG549" s="4"/>
    </row>
    <row r="550" spans="5:33" ht="12.75">
      <c r="E550" s="148"/>
      <c r="F550" s="148"/>
      <c r="G550" s="148"/>
      <c r="H550" s="148"/>
      <c r="AF550" s="4"/>
      <c r="AG550" s="4"/>
    </row>
    <row r="551" spans="5:33" ht="12.75">
      <c r="E551" s="148"/>
      <c r="F551" s="148"/>
      <c r="G551" s="148"/>
      <c r="H551" s="148"/>
      <c r="AF551" s="4"/>
      <c r="AG551" s="4"/>
    </row>
    <row r="552" spans="5:33" ht="12.75">
      <c r="E552" s="148"/>
      <c r="F552" s="148"/>
      <c r="G552" s="148"/>
      <c r="H552" s="148"/>
      <c r="AF552" s="4"/>
      <c r="AG552" s="4"/>
    </row>
    <row r="553" spans="5:33" ht="12.75">
      <c r="E553" s="148"/>
      <c r="F553" s="148"/>
      <c r="G553" s="148"/>
      <c r="H553" s="148"/>
      <c r="AF553" s="4"/>
      <c r="AG553" s="4"/>
    </row>
    <row r="554" spans="5:33" ht="12.75">
      <c r="E554" s="148"/>
      <c r="F554" s="148"/>
      <c r="G554" s="148"/>
      <c r="H554" s="148"/>
      <c r="AF554" s="4"/>
      <c r="AG554" s="4"/>
    </row>
    <row r="555" spans="5:33" ht="12.75">
      <c r="E555" s="148"/>
      <c r="F555" s="148"/>
      <c r="G555" s="148"/>
      <c r="H555" s="148"/>
      <c r="AF555" s="4"/>
      <c r="AG555" s="4"/>
    </row>
    <row r="556" spans="5:33" ht="12.75">
      <c r="E556" s="148"/>
      <c r="F556" s="148"/>
      <c r="G556" s="148"/>
      <c r="H556" s="148"/>
      <c r="AF556" s="4"/>
      <c r="AG556" s="4"/>
    </row>
    <row r="557" spans="5:33" ht="12.75">
      <c r="E557" s="148"/>
      <c r="F557" s="148"/>
      <c r="G557" s="148"/>
      <c r="H557" s="148"/>
      <c r="AF557" s="4"/>
      <c r="AG557" s="4"/>
    </row>
    <row r="558" spans="5:33" ht="12.75">
      <c r="E558" s="148"/>
      <c r="F558" s="148"/>
      <c r="G558" s="148"/>
      <c r="H558" s="148"/>
      <c r="AF558" s="4"/>
      <c r="AG558" s="4"/>
    </row>
    <row r="559" spans="5:33" ht="12.75">
      <c r="E559" s="148"/>
      <c r="F559" s="148"/>
      <c r="G559" s="148"/>
      <c r="H559" s="148"/>
      <c r="AF559" s="4"/>
      <c r="AG559" s="4"/>
    </row>
    <row r="560" spans="5:33" ht="12.75">
      <c r="E560" s="148"/>
      <c r="F560" s="148"/>
      <c r="G560" s="148"/>
      <c r="H560" s="148"/>
      <c r="AF560" s="4"/>
      <c r="AG560" s="4"/>
    </row>
    <row r="561" spans="5:33" ht="12.75">
      <c r="E561" s="148"/>
      <c r="F561" s="148"/>
      <c r="G561" s="148"/>
      <c r="H561" s="148"/>
      <c r="AF561" s="4"/>
      <c r="AG561" s="4"/>
    </row>
    <row r="562" spans="5:33" ht="12.75">
      <c r="E562" s="148"/>
      <c r="F562" s="148"/>
      <c r="G562" s="148"/>
      <c r="H562" s="148"/>
      <c r="AF562" s="4"/>
      <c r="AG562" s="4"/>
    </row>
    <row r="563" spans="5:33" ht="12.75">
      <c r="E563" s="148"/>
      <c r="F563" s="148"/>
      <c r="G563" s="148"/>
      <c r="H563" s="148"/>
      <c r="AF563" s="4"/>
      <c r="AG563" s="4"/>
    </row>
    <row r="564" spans="5:33" ht="12.75">
      <c r="E564" s="148"/>
      <c r="F564" s="148"/>
      <c r="G564" s="148"/>
      <c r="H564" s="148"/>
      <c r="AF564" s="4"/>
      <c r="AG564" s="4"/>
    </row>
    <row r="565" spans="5:33" ht="12.75">
      <c r="E565" s="148"/>
      <c r="F565" s="148"/>
      <c r="G565" s="148"/>
      <c r="H565" s="148"/>
      <c r="AF565" s="4"/>
      <c r="AG565" s="4"/>
    </row>
    <row r="566" spans="5:33" ht="12.75">
      <c r="E566" s="148"/>
      <c r="F566" s="148"/>
      <c r="G566" s="148"/>
      <c r="H566" s="148"/>
      <c r="AF566" s="4"/>
      <c r="AG566" s="4"/>
    </row>
    <row r="567" spans="5:33" ht="12.75">
      <c r="E567" s="148"/>
      <c r="F567" s="148"/>
      <c r="G567" s="148"/>
      <c r="H567" s="148"/>
      <c r="AF567" s="4"/>
      <c r="AG567" s="4"/>
    </row>
    <row r="568" spans="5:33" ht="12.75">
      <c r="E568" s="148"/>
      <c r="F568" s="148"/>
      <c r="G568" s="148"/>
      <c r="H568" s="148"/>
      <c r="AF568" s="4"/>
      <c r="AG568" s="4"/>
    </row>
    <row r="569" spans="5:33" ht="12.75">
      <c r="E569" s="148"/>
      <c r="F569" s="148"/>
      <c r="G569" s="148"/>
      <c r="H569" s="148"/>
      <c r="AF569" s="4"/>
      <c r="AG569" s="4"/>
    </row>
    <row r="570" spans="5:33" ht="12.75">
      <c r="E570" s="148"/>
      <c r="F570" s="148"/>
      <c r="G570" s="148"/>
      <c r="H570" s="148"/>
      <c r="AF570" s="4"/>
      <c r="AG570" s="4"/>
    </row>
    <row r="571" spans="5:33" ht="12.75">
      <c r="E571" s="148"/>
      <c r="F571" s="148"/>
      <c r="G571" s="148"/>
      <c r="H571" s="148"/>
      <c r="AF571" s="4"/>
      <c r="AG571" s="4"/>
    </row>
    <row r="572" spans="5:33" ht="12.75">
      <c r="E572" s="148"/>
      <c r="F572" s="148"/>
      <c r="G572" s="148"/>
      <c r="H572" s="148"/>
      <c r="AF572" s="4"/>
      <c r="AG572" s="4"/>
    </row>
    <row r="573" spans="5:33" ht="12.75">
      <c r="E573" s="148"/>
      <c r="F573" s="148"/>
      <c r="G573" s="148"/>
      <c r="H573" s="148"/>
      <c r="AF573" s="4"/>
      <c r="AG573" s="4"/>
    </row>
    <row r="574" spans="5:33" ht="12.75">
      <c r="E574" s="148"/>
      <c r="F574" s="148"/>
      <c r="G574" s="148"/>
      <c r="H574" s="148"/>
      <c r="AF574" s="4"/>
      <c r="AG574" s="4"/>
    </row>
    <row r="575" spans="5:33" ht="12.75">
      <c r="E575" s="148"/>
      <c r="F575" s="148"/>
      <c r="G575" s="148"/>
      <c r="H575" s="148"/>
      <c r="AF575" s="4"/>
      <c r="AG575" s="4"/>
    </row>
    <row r="576" spans="5:33" ht="12.75">
      <c r="E576" s="148"/>
      <c r="F576" s="148"/>
      <c r="G576" s="148"/>
      <c r="H576" s="148"/>
      <c r="AF576" s="4"/>
      <c r="AG576" s="4"/>
    </row>
    <row r="577" spans="5:33" ht="12.75">
      <c r="E577" s="148"/>
      <c r="F577" s="148"/>
      <c r="G577" s="148"/>
      <c r="H577" s="148"/>
      <c r="AF577" s="4"/>
      <c r="AG577" s="4"/>
    </row>
    <row r="578" spans="5:33" ht="12.75">
      <c r="E578" s="148"/>
      <c r="F578" s="148"/>
      <c r="G578" s="148"/>
      <c r="H578" s="148"/>
      <c r="AF578" s="4"/>
      <c r="AG578" s="4"/>
    </row>
    <row r="579" spans="5:33" ht="12.75">
      <c r="E579" s="148"/>
      <c r="F579" s="148"/>
      <c r="G579" s="148"/>
      <c r="H579" s="148"/>
      <c r="AF579" s="4"/>
      <c r="AG579" s="4"/>
    </row>
    <row r="580" spans="5:33" ht="12.75">
      <c r="E580" s="148"/>
      <c r="F580" s="148"/>
      <c r="G580" s="148"/>
      <c r="H580" s="148"/>
      <c r="AF580" s="4"/>
      <c r="AG580" s="4"/>
    </row>
    <row r="581" spans="5:33" ht="12.75">
      <c r="E581" s="148"/>
      <c r="F581" s="148"/>
      <c r="G581" s="148"/>
      <c r="H581" s="148"/>
      <c r="AF581" s="4"/>
      <c r="AG581" s="4"/>
    </row>
    <row r="582" spans="5:33" ht="12.75">
      <c r="E582" s="148"/>
      <c r="F582" s="148"/>
      <c r="G582" s="148"/>
      <c r="H582" s="148"/>
      <c r="AF582" s="4"/>
      <c r="AG582" s="4"/>
    </row>
    <row r="583" spans="5:33" ht="12.75">
      <c r="E583" s="148"/>
      <c r="F583" s="148"/>
      <c r="G583" s="148"/>
      <c r="H583" s="148"/>
      <c r="AF583" s="4"/>
      <c r="AG583" s="4"/>
    </row>
    <row r="584" spans="5:33" ht="12.75">
      <c r="E584" s="148"/>
      <c r="F584" s="148"/>
      <c r="G584" s="148"/>
      <c r="H584" s="148"/>
      <c r="AF584" s="4"/>
      <c r="AG584" s="4"/>
    </row>
    <row r="585" spans="5:33" ht="12.75">
      <c r="E585" s="148"/>
      <c r="F585" s="148"/>
      <c r="G585" s="148"/>
      <c r="H585" s="148"/>
      <c r="AF585" s="4"/>
      <c r="AG585" s="4"/>
    </row>
    <row r="586" spans="5:33" ht="12.75">
      <c r="E586" s="148"/>
      <c r="F586" s="148"/>
      <c r="G586" s="148"/>
      <c r="H586" s="148"/>
      <c r="AF586" s="4"/>
      <c r="AG586" s="4"/>
    </row>
    <row r="587" spans="5:33" ht="12.75">
      <c r="E587" s="148"/>
      <c r="F587" s="148"/>
      <c r="G587" s="148"/>
      <c r="H587" s="148"/>
      <c r="AF587" s="4"/>
      <c r="AG587" s="4"/>
    </row>
    <row r="588" spans="5:33" ht="12.75">
      <c r="E588" s="148"/>
      <c r="F588" s="148"/>
      <c r="G588" s="148"/>
      <c r="H588" s="148"/>
      <c r="AF588" s="4"/>
      <c r="AG588" s="4"/>
    </row>
    <row r="589" spans="5:33" ht="12.75">
      <c r="E589" s="148"/>
      <c r="F589" s="148"/>
      <c r="G589" s="148"/>
      <c r="H589" s="148"/>
      <c r="AF589" s="4"/>
      <c r="AG589" s="4"/>
    </row>
    <row r="590" spans="5:33" ht="12.75">
      <c r="E590" s="148"/>
      <c r="F590" s="148"/>
      <c r="G590" s="148"/>
      <c r="H590" s="148"/>
      <c r="AF590" s="4"/>
      <c r="AG590" s="4"/>
    </row>
    <row r="591" spans="5:33" ht="12.75">
      <c r="E591" s="148"/>
      <c r="F591" s="148"/>
      <c r="G591" s="148"/>
      <c r="H591" s="148"/>
      <c r="AF591" s="4"/>
      <c r="AG591" s="4"/>
    </row>
    <row r="592" spans="5:33" ht="12.75">
      <c r="E592" s="148"/>
      <c r="F592" s="148"/>
      <c r="G592" s="148"/>
      <c r="H592" s="148"/>
      <c r="AF592" s="4"/>
      <c r="AG592" s="4"/>
    </row>
    <row r="593" spans="5:33" ht="12.75">
      <c r="E593" s="148"/>
      <c r="F593" s="148"/>
      <c r="G593" s="148"/>
      <c r="H593" s="148"/>
      <c r="AF593" s="4"/>
      <c r="AG593" s="4"/>
    </row>
    <row r="594" spans="5:33" ht="12.75">
      <c r="E594" s="148"/>
      <c r="F594" s="148"/>
      <c r="G594" s="148"/>
      <c r="H594" s="148"/>
      <c r="AF594" s="4"/>
      <c r="AG594" s="4"/>
    </row>
    <row r="595" spans="5:33" ht="12.75">
      <c r="E595" s="148"/>
      <c r="F595" s="148"/>
      <c r="G595" s="148"/>
      <c r="H595" s="148"/>
      <c r="AF595" s="4"/>
      <c r="AG595" s="4"/>
    </row>
    <row r="596" spans="5:33" ht="12.75">
      <c r="E596" s="148"/>
      <c r="F596" s="148"/>
      <c r="G596" s="148"/>
      <c r="H596" s="148"/>
      <c r="AF596" s="4"/>
      <c r="AG596" s="4"/>
    </row>
    <row r="597" spans="5:33" ht="12.75">
      <c r="E597" s="148"/>
      <c r="F597" s="148"/>
      <c r="G597" s="148"/>
      <c r="H597" s="148"/>
      <c r="AF597" s="4"/>
      <c r="AG597" s="4"/>
    </row>
    <row r="598" spans="5:33" ht="12.75">
      <c r="E598" s="148"/>
      <c r="F598" s="148"/>
      <c r="G598" s="148"/>
      <c r="H598" s="148"/>
      <c r="AF598" s="4"/>
      <c r="AG598" s="4"/>
    </row>
    <row r="599" spans="5:33" ht="12.75">
      <c r="E599" s="148"/>
      <c r="F599" s="148"/>
      <c r="G599" s="148"/>
      <c r="H599" s="148"/>
      <c r="AF599" s="4"/>
      <c r="AG599" s="4"/>
    </row>
    <row r="600" spans="5:33" ht="12.75">
      <c r="E600" s="148"/>
      <c r="F600" s="148"/>
      <c r="G600" s="148"/>
      <c r="H600" s="148"/>
      <c r="AF600" s="4"/>
      <c r="AG600" s="4"/>
    </row>
    <row r="601" spans="5:33" ht="12.75">
      <c r="E601" s="148"/>
      <c r="F601" s="148"/>
      <c r="G601" s="148"/>
      <c r="H601" s="148"/>
      <c r="AF601" s="4"/>
      <c r="AG601" s="4"/>
    </row>
    <row r="602" spans="5:33" ht="12.75">
      <c r="E602" s="148"/>
      <c r="F602" s="148"/>
      <c r="G602" s="148"/>
      <c r="H602" s="148"/>
      <c r="AF602" s="4"/>
      <c r="AG602" s="4"/>
    </row>
    <row r="603" spans="5:33" ht="12.75">
      <c r="E603" s="148"/>
      <c r="F603" s="148"/>
      <c r="G603" s="148"/>
      <c r="H603" s="148"/>
      <c r="AF603" s="4"/>
      <c r="AG603" s="4"/>
    </row>
    <row r="604" spans="5:33" ht="12.75">
      <c r="E604" s="148"/>
      <c r="F604" s="148"/>
      <c r="G604" s="148"/>
      <c r="H604" s="148"/>
      <c r="AF604" s="4"/>
      <c r="AG604" s="4"/>
    </row>
    <row r="605" spans="5:33" ht="12.75">
      <c r="E605" s="148"/>
      <c r="F605" s="148"/>
      <c r="G605" s="148"/>
      <c r="H605" s="148"/>
      <c r="AF605" s="4"/>
      <c r="AG605" s="4"/>
    </row>
    <row r="606" spans="5:33" ht="12.75">
      <c r="E606" s="148"/>
      <c r="F606" s="148"/>
      <c r="G606" s="148"/>
      <c r="H606" s="148"/>
      <c r="AF606" s="4"/>
      <c r="AG606" s="4"/>
    </row>
    <row r="607" spans="5:33" ht="12.75">
      <c r="E607" s="148"/>
      <c r="F607" s="148"/>
      <c r="G607" s="148"/>
      <c r="H607" s="148"/>
      <c r="AF607" s="4"/>
      <c r="AG607" s="4"/>
    </row>
    <row r="608" spans="5:33" ht="12.75">
      <c r="E608" s="148"/>
      <c r="F608" s="148"/>
      <c r="G608" s="148"/>
      <c r="H608" s="148"/>
      <c r="AF608" s="4"/>
      <c r="AG608" s="4"/>
    </row>
    <row r="609" spans="5:33" ht="12.75">
      <c r="E609" s="148"/>
      <c r="F609" s="148"/>
      <c r="G609" s="148"/>
      <c r="H609" s="148"/>
      <c r="AF609" s="4"/>
      <c r="AG609" s="4"/>
    </row>
    <row r="610" spans="5:33" ht="12.75">
      <c r="E610" s="148"/>
      <c r="F610" s="148"/>
      <c r="G610" s="148"/>
      <c r="H610" s="148"/>
      <c r="AF610" s="4"/>
      <c r="AG610" s="4"/>
    </row>
    <row r="611" spans="5:33" ht="12.75">
      <c r="E611" s="148"/>
      <c r="F611" s="148"/>
      <c r="G611" s="148"/>
      <c r="H611" s="148"/>
      <c r="AF611" s="4"/>
      <c r="AG611" s="4"/>
    </row>
    <row r="612" spans="5:33" ht="12.75">
      <c r="E612" s="148"/>
      <c r="F612" s="148"/>
      <c r="G612" s="148"/>
      <c r="H612" s="148"/>
      <c r="AF612" s="4"/>
      <c r="AG612" s="4"/>
    </row>
    <row r="613" spans="5:33" ht="12.75">
      <c r="E613" s="148"/>
      <c r="F613" s="148"/>
      <c r="G613" s="148"/>
      <c r="H613" s="148"/>
      <c r="AF613" s="4"/>
      <c r="AG613" s="4"/>
    </row>
    <row r="614" spans="5:33" ht="12.75">
      <c r="E614" s="148"/>
      <c r="F614" s="148"/>
      <c r="G614" s="148"/>
      <c r="H614" s="148"/>
      <c r="AF614" s="4"/>
      <c r="AG614" s="4"/>
    </row>
    <row r="615" spans="5:33" ht="12.75">
      <c r="E615" s="148"/>
      <c r="F615" s="148"/>
      <c r="G615" s="148"/>
      <c r="H615" s="148"/>
      <c r="AF615" s="4"/>
      <c r="AG615" s="4"/>
    </row>
    <row r="616" spans="5:33" ht="12.75">
      <c r="E616" s="148"/>
      <c r="F616" s="148"/>
      <c r="G616" s="148"/>
      <c r="H616" s="148"/>
      <c r="AF616" s="4"/>
      <c r="AG616" s="4"/>
    </row>
    <row r="617" spans="5:33" ht="12.75">
      <c r="E617" s="148"/>
      <c r="F617" s="148"/>
      <c r="G617" s="148"/>
      <c r="H617" s="148"/>
      <c r="AF617" s="4"/>
      <c r="AG617" s="4"/>
    </row>
    <row r="618" spans="5:33" ht="12.75">
      <c r="E618" s="148"/>
      <c r="F618" s="148"/>
      <c r="G618" s="148"/>
      <c r="H618" s="148"/>
      <c r="AF618" s="4"/>
      <c r="AG618" s="4"/>
    </row>
    <row r="619" spans="5:33" ht="12.75">
      <c r="E619" s="148"/>
      <c r="F619" s="148"/>
      <c r="G619" s="148"/>
      <c r="H619" s="148"/>
      <c r="AF619" s="4"/>
      <c r="AG619" s="4"/>
    </row>
    <row r="620" spans="5:33" ht="12.75">
      <c r="E620" s="148"/>
      <c r="F620" s="148"/>
      <c r="G620" s="148"/>
      <c r="H620" s="148"/>
      <c r="AF620" s="4"/>
      <c r="AG620" s="4"/>
    </row>
    <row r="621" spans="5:33" ht="12.75">
      <c r="E621" s="148"/>
      <c r="F621" s="148"/>
      <c r="G621" s="148"/>
      <c r="H621" s="148"/>
      <c r="AF621" s="4"/>
      <c r="AG621" s="4"/>
    </row>
    <row r="622" spans="5:33" ht="12.75">
      <c r="E622" s="148"/>
      <c r="F622" s="148"/>
      <c r="G622" s="148"/>
      <c r="H622" s="148"/>
      <c r="AF622" s="4"/>
      <c r="AG622" s="4"/>
    </row>
    <row r="623" spans="5:33" ht="12.75">
      <c r="E623" s="148"/>
      <c r="F623" s="148"/>
      <c r="G623" s="148"/>
      <c r="H623" s="148"/>
      <c r="AF623" s="4"/>
      <c r="AG623" s="4"/>
    </row>
    <row r="624" spans="5:33" ht="12.75">
      <c r="E624" s="148"/>
      <c r="F624" s="148"/>
      <c r="G624" s="148"/>
      <c r="H624" s="148"/>
      <c r="AF624" s="4"/>
      <c r="AG624" s="4"/>
    </row>
    <row r="625" spans="5:33" ht="12.75">
      <c r="E625" s="148"/>
      <c r="F625" s="148"/>
      <c r="G625" s="148"/>
      <c r="H625" s="148"/>
      <c r="AF625" s="4"/>
      <c r="AG625" s="4"/>
    </row>
    <row r="626" spans="5:33" ht="12.75">
      <c r="E626" s="148"/>
      <c r="F626" s="148"/>
      <c r="G626" s="148"/>
      <c r="H626" s="148"/>
      <c r="AF626" s="4"/>
      <c r="AG626" s="4"/>
    </row>
    <row r="627" spans="5:33" ht="12.75">
      <c r="E627" s="148"/>
      <c r="F627" s="148"/>
      <c r="G627" s="148"/>
      <c r="H627" s="148"/>
      <c r="AF627" s="4"/>
      <c r="AG627" s="4"/>
    </row>
    <row r="628" spans="5:33" ht="12.75">
      <c r="E628" s="148"/>
      <c r="F628" s="148"/>
      <c r="G628" s="148"/>
      <c r="H628" s="148"/>
      <c r="AF628" s="4"/>
      <c r="AG628" s="4"/>
    </row>
    <row r="629" spans="5:33" ht="12.75">
      <c r="E629" s="148"/>
      <c r="F629" s="148"/>
      <c r="G629" s="148"/>
      <c r="H629" s="148"/>
      <c r="AF629" s="4"/>
      <c r="AG629" s="4"/>
    </row>
    <row r="630" spans="5:33" ht="12.75">
      <c r="E630" s="148"/>
      <c r="F630" s="148"/>
      <c r="G630" s="148"/>
      <c r="H630" s="148"/>
      <c r="AF630" s="4"/>
      <c r="AG630" s="4"/>
    </row>
    <row r="631" spans="5:33" ht="12.75">
      <c r="E631" s="148"/>
      <c r="F631" s="148"/>
      <c r="G631" s="148"/>
      <c r="H631" s="148"/>
      <c r="AF631" s="4"/>
      <c r="AG631" s="4"/>
    </row>
    <row r="632" spans="5:33" ht="12.75">
      <c r="E632" s="148"/>
      <c r="F632" s="148"/>
      <c r="G632" s="148"/>
      <c r="H632" s="148"/>
      <c r="AF632" s="4"/>
      <c r="AG632" s="4"/>
    </row>
    <row r="633" spans="5:33" ht="12.75">
      <c r="E633" s="148"/>
      <c r="F633" s="148"/>
      <c r="G633" s="148"/>
      <c r="H633" s="148"/>
      <c r="AF633" s="4"/>
      <c r="AG633" s="4"/>
    </row>
    <row r="634" spans="5:33" ht="12.75">
      <c r="E634" s="148"/>
      <c r="F634" s="148"/>
      <c r="G634" s="148"/>
      <c r="H634" s="148"/>
      <c r="AF634" s="4"/>
      <c r="AG634" s="4"/>
    </row>
    <row r="635" spans="5:33" ht="12.75">
      <c r="E635" s="148"/>
      <c r="F635" s="148"/>
      <c r="G635" s="148"/>
      <c r="H635" s="148"/>
      <c r="AF635" s="4"/>
      <c r="AG635" s="4"/>
    </row>
    <row r="636" spans="5:33" ht="12.75">
      <c r="E636" s="148"/>
      <c r="F636" s="148"/>
      <c r="G636" s="148"/>
      <c r="H636" s="148"/>
      <c r="AF636" s="4"/>
      <c r="AG636" s="4"/>
    </row>
    <row r="637" spans="5:33" ht="12.75">
      <c r="E637" s="148"/>
      <c r="F637" s="148"/>
      <c r="G637" s="148"/>
      <c r="H637" s="148"/>
      <c r="AF637" s="4"/>
      <c r="AG637" s="4"/>
    </row>
    <row r="638" spans="5:33" ht="12.75">
      <c r="E638" s="148"/>
      <c r="F638" s="148"/>
      <c r="G638" s="148"/>
      <c r="H638" s="148"/>
      <c r="AF638" s="4"/>
      <c r="AG638" s="4"/>
    </row>
    <row r="639" spans="5:33" ht="12.75">
      <c r="E639" s="148"/>
      <c r="F639" s="148"/>
      <c r="G639" s="148"/>
      <c r="H639" s="148"/>
      <c r="AF639" s="4"/>
      <c r="AG639" s="4"/>
    </row>
    <row r="640" spans="5:33" ht="12.75">
      <c r="E640" s="148"/>
      <c r="F640" s="148"/>
      <c r="G640" s="148"/>
      <c r="H640" s="148"/>
      <c r="AF640" s="4"/>
      <c r="AG640" s="4"/>
    </row>
    <row r="641" spans="5:33" ht="12.75">
      <c r="E641" s="148"/>
      <c r="F641" s="148"/>
      <c r="G641" s="148"/>
      <c r="H641" s="148"/>
      <c r="AF641" s="4"/>
      <c r="AG641" s="4"/>
    </row>
    <row r="642" spans="5:33" ht="12.75">
      <c r="E642" s="148"/>
      <c r="F642" s="148"/>
      <c r="G642" s="148"/>
      <c r="H642" s="148"/>
      <c r="AF642" s="4"/>
      <c r="AG642" s="4"/>
    </row>
    <row r="643" spans="5:33" ht="12.75">
      <c r="E643" s="148"/>
      <c r="F643" s="148"/>
      <c r="G643" s="148"/>
      <c r="H643" s="148"/>
      <c r="AF643" s="4"/>
      <c r="AG643" s="4"/>
    </row>
    <row r="644" spans="5:33" ht="12.75">
      <c r="E644" s="148"/>
      <c r="F644" s="148"/>
      <c r="G644" s="148"/>
      <c r="H644" s="148"/>
      <c r="AF644" s="4"/>
      <c r="AG644" s="4"/>
    </row>
    <row r="645" spans="5:33" ht="12.75">
      <c r="E645" s="148"/>
      <c r="F645" s="148"/>
      <c r="G645" s="148"/>
      <c r="H645" s="148"/>
      <c r="AF645" s="4"/>
      <c r="AG645" s="4"/>
    </row>
    <row r="646" spans="5:33" ht="12.75">
      <c r="E646" s="148"/>
      <c r="F646" s="148"/>
      <c r="G646" s="148"/>
      <c r="H646" s="148"/>
      <c r="AF646" s="4"/>
      <c r="AG646" s="4"/>
    </row>
    <row r="647" spans="5:33" ht="12.75">
      <c r="E647" s="148"/>
      <c r="F647" s="148"/>
      <c r="G647" s="148"/>
      <c r="H647" s="148"/>
      <c r="AF647" s="4"/>
      <c r="AG647" s="4"/>
    </row>
    <row r="648" spans="5:33" ht="12.75">
      <c r="E648" s="148"/>
      <c r="F648" s="148"/>
      <c r="G648" s="148"/>
      <c r="H648" s="148"/>
      <c r="AF648" s="4"/>
      <c r="AG648" s="4"/>
    </row>
    <row r="649" spans="5:33" ht="12.75">
      <c r="E649" s="148"/>
      <c r="F649" s="148"/>
      <c r="G649" s="148"/>
      <c r="H649" s="148"/>
      <c r="AF649" s="4"/>
      <c r="AG649" s="4"/>
    </row>
    <row r="650" spans="5:33" ht="12.75">
      <c r="E650" s="148"/>
      <c r="F650" s="148"/>
      <c r="G650" s="148"/>
      <c r="H650" s="148"/>
      <c r="AF650" s="4"/>
      <c r="AG650" s="4"/>
    </row>
    <row r="651" spans="5:33" ht="12.75">
      <c r="E651" s="148"/>
      <c r="F651" s="148"/>
      <c r="G651" s="148"/>
      <c r="H651" s="148"/>
      <c r="AF651" s="4"/>
      <c r="AG651" s="4"/>
    </row>
    <row r="652" spans="5:33" ht="12.75">
      <c r="E652" s="148"/>
      <c r="F652" s="148"/>
      <c r="G652" s="148"/>
      <c r="H652" s="148"/>
      <c r="AF652" s="4"/>
      <c r="AG652" s="4"/>
    </row>
    <row r="653" spans="5:33" ht="12.75">
      <c r="E653" s="148"/>
      <c r="F653" s="148"/>
      <c r="G653" s="148"/>
      <c r="H653" s="148"/>
      <c r="AF653" s="4"/>
      <c r="AG653" s="4"/>
    </row>
    <row r="654" spans="5:33" ht="12.75">
      <c r="E654" s="148"/>
      <c r="F654" s="148"/>
      <c r="G654" s="148"/>
      <c r="H654" s="148"/>
      <c r="AF654" s="4"/>
      <c r="AG654" s="4"/>
    </row>
    <row r="655" spans="5:33" ht="12.75">
      <c r="E655" s="148"/>
      <c r="F655" s="148"/>
      <c r="G655" s="148"/>
      <c r="H655" s="148"/>
      <c r="AF655" s="4"/>
      <c r="AG655" s="4"/>
    </row>
    <row r="656" spans="5:33" ht="12.75">
      <c r="E656" s="148"/>
      <c r="F656" s="148"/>
      <c r="G656" s="148"/>
      <c r="H656" s="148"/>
      <c r="AF656" s="4"/>
      <c r="AG656" s="4"/>
    </row>
    <row r="657" spans="5:33" ht="12.75">
      <c r="E657" s="148"/>
      <c r="F657" s="148"/>
      <c r="G657" s="148"/>
      <c r="H657" s="148"/>
      <c r="AF657" s="4"/>
      <c r="AG657" s="4"/>
    </row>
    <row r="658" spans="5:33" ht="12.75">
      <c r="E658" s="148"/>
      <c r="F658" s="148"/>
      <c r="G658" s="148"/>
      <c r="H658" s="148"/>
      <c r="AF658" s="4"/>
      <c r="AG658" s="4"/>
    </row>
    <row r="659" spans="5:33" ht="12.75">
      <c r="E659" s="148"/>
      <c r="F659" s="148"/>
      <c r="G659" s="148"/>
      <c r="H659" s="148"/>
      <c r="AF659" s="4"/>
      <c r="AG659" s="4"/>
    </row>
    <row r="660" spans="5:33" ht="12.75">
      <c r="E660" s="148"/>
      <c r="F660" s="148"/>
      <c r="G660" s="148"/>
      <c r="H660" s="148"/>
      <c r="AF660" s="4"/>
      <c r="AG660" s="4"/>
    </row>
    <row r="661" spans="5:33" ht="12.75">
      <c r="E661" s="148"/>
      <c r="F661" s="148"/>
      <c r="G661" s="148"/>
      <c r="H661" s="148"/>
      <c r="AF661" s="4"/>
      <c r="AG661" s="4"/>
    </row>
    <row r="662" spans="5:33" ht="12.75">
      <c r="E662" s="148"/>
      <c r="F662" s="148"/>
      <c r="G662" s="148"/>
      <c r="H662" s="148"/>
      <c r="AF662" s="4"/>
      <c r="AG662" s="4"/>
    </row>
    <row r="663" spans="5:33" ht="12.75">
      <c r="E663" s="148"/>
      <c r="F663" s="148"/>
      <c r="G663" s="148"/>
      <c r="H663" s="148"/>
      <c r="AF663" s="4"/>
      <c r="AG663" s="4"/>
    </row>
    <row r="664" spans="5:33" ht="12.75">
      <c r="E664" s="148"/>
      <c r="F664" s="148"/>
      <c r="G664" s="148"/>
      <c r="H664" s="148"/>
      <c r="AF664" s="4"/>
      <c r="AG664" s="4"/>
    </row>
    <row r="665" spans="5:33" ht="12.75">
      <c r="E665" s="148"/>
      <c r="F665" s="148"/>
      <c r="G665" s="148"/>
      <c r="H665" s="148"/>
      <c r="AF665" s="4"/>
      <c r="AG665" s="4"/>
    </row>
    <row r="666" spans="5:33" ht="12.75">
      <c r="E666" s="148"/>
      <c r="F666" s="148"/>
      <c r="G666" s="148"/>
      <c r="H666" s="148"/>
      <c r="AF666" s="4"/>
      <c r="AG666" s="4"/>
    </row>
    <row r="667" spans="5:33" ht="12.75">
      <c r="E667" s="148"/>
      <c r="F667" s="148"/>
      <c r="G667" s="148"/>
      <c r="H667" s="148"/>
      <c r="AF667" s="4"/>
      <c r="AG667" s="4"/>
    </row>
    <row r="668" spans="5:33" ht="12.75">
      <c r="E668" s="148"/>
      <c r="F668" s="148"/>
      <c r="G668" s="148"/>
      <c r="H668" s="148"/>
      <c r="AF668" s="4"/>
      <c r="AG668" s="4"/>
    </row>
    <row r="669" spans="5:33" ht="12.75">
      <c r="E669" s="148"/>
      <c r="F669" s="148"/>
      <c r="G669" s="148"/>
      <c r="H669" s="148"/>
      <c r="AF669" s="4"/>
      <c r="AG669" s="4"/>
    </row>
    <row r="670" spans="5:33" ht="12.75">
      <c r="E670" s="148"/>
      <c r="F670" s="148"/>
      <c r="G670" s="148"/>
      <c r="H670" s="148"/>
      <c r="AF670" s="4"/>
      <c r="AG670" s="4"/>
    </row>
    <row r="671" spans="5:33" ht="12.75">
      <c r="E671" s="148"/>
      <c r="F671" s="148"/>
      <c r="G671" s="148"/>
      <c r="H671" s="148"/>
      <c r="AF671" s="4"/>
      <c r="AG671" s="4"/>
    </row>
    <row r="672" spans="5:33" ht="12.75">
      <c r="E672" s="148"/>
      <c r="F672" s="148"/>
      <c r="G672" s="148"/>
      <c r="H672" s="148"/>
      <c r="AF672" s="4"/>
      <c r="AG672" s="4"/>
    </row>
    <row r="673" spans="5:33" ht="12.75">
      <c r="E673" s="148"/>
      <c r="F673" s="148"/>
      <c r="G673" s="148"/>
      <c r="H673" s="148"/>
      <c r="AF673" s="4"/>
      <c r="AG673" s="4"/>
    </row>
    <row r="674" spans="5:33" ht="12.75">
      <c r="E674" s="148"/>
      <c r="F674" s="148"/>
      <c r="G674" s="148"/>
      <c r="H674" s="148"/>
      <c r="AF674" s="4"/>
      <c r="AG674" s="4"/>
    </row>
    <row r="675" spans="5:33" ht="12.75">
      <c r="E675" s="148"/>
      <c r="F675" s="148"/>
      <c r="G675" s="148"/>
      <c r="H675" s="148"/>
      <c r="AF675" s="4"/>
      <c r="AG675" s="4"/>
    </row>
    <row r="676" spans="5:33" ht="12.75">
      <c r="E676" s="148"/>
      <c r="F676" s="148"/>
      <c r="G676" s="148"/>
      <c r="H676" s="148"/>
      <c r="AF676" s="4"/>
      <c r="AG676" s="4"/>
    </row>
    <row r="677" spans="5:33" ht="12.75">
      <c r="E677" s="148"/>
      <c r="F677" s="148"/>
      <c r="G677" s="148"/>
      <c r="H677" s="148"/>
      <c r="AF677" s="4"/>
      <c r="AG677" s="4"/>
    </row>
    <row r="678" spans="5:33" ht="12.75">
      <c r="E678" s="148"/>
      <c r="F678" s="148"/>
      <c r="G678" s="148"/>
      <c r="H678" s="148"/>
      <c r="AF678" s="4"/>
      <c r="AG678" s="4"/>
    </row>
    <row r="679" spans="5:33" ht="12.75">
      <c r="E679" s="148"/>
      <c r="F679" s="148"/>
      <c r="G679" s="148"/>
      <c r="H679" s="148"/>
      <c r="AF679" s="4"/>
      <c r="AG679" s="4"/>
    </row>
    <row r="680" spans="5:33" ht="12.75">
      <c r="E680" s="148"/>
      <c r="F680" s="148"/>
      <c r="G680" s="148"/>
      <c r="H680" s="148"/>
      <c r="AF680" s="4"/>
      <c r="AG680" s="4"/>
    </row>
    <row r="681" spans="5:33" ht="12.75">
      <c r="E681" s="148"/>
      <c r="F681" s="148"/>
      <c r="G681" s="148"/>
      <c r="H681" s="148"/>
      <c r="AF681" s="4"/>
      <c r="AG681" s="4"/>
    </row>
    <row r="682" spans="5:33" ht="12.75">
      <c r="E682" s="148"/>
      <c r="F682" s="148"/>
      <c r="G682" s="148"/>
      <c r="H682" s="148"/>
      <c r="AF682" s="4"/>
      <c r="AG682" s="4"/>
    </row>
    <row r="683" spans="5:33" ht="12.75">
      <c r="E683" s="148"/>
      <c r="F683" s="148"/>
      <c r="G683" s="148"/>
      <c r="H683" s="148"/>
      <c r="AF683" s="4"/>
      <c r="AG683" s="4"/>
    </row>
    <row r="684" spans="5:33" ht="12.75">
      <c r="E684" s="148"/>
      <c r="F684" s="148"/>
      <c r="G684" s="148"/>
      <c r="H684" s="148"/>
      <c r="AF684" s="4"/>
      <c r="AG684" s="4"/>
    </row>
    <row r="685" spans="5:33" ht="12.75">
      <c r="E685" s="148"/>
      <c r="F685" s="148"/>
      <c r="G685" s="148"/>
      <c r="H685" s="148"/>
      <c r="AF685" s="4"/>
      <c r="AG685" s="4"/>
    </row>
    <row r="686" spans="5:33" ht="12.75">
      <c r="E686" s="148"/>
      <c r="F686" s="148"/>
      <c r="G686" s="148"/>
      <c r="H686" s="148"/>
      <c r="AF686" s="4"/>
      <c r="AG686" s="4"/>
    </row>
    <row r="687" spans="5:33" ht="12.75">
      <c r="E687" s="148"/>
      <c r="F687" s="148"/>
      <c r="G687" s="148"/>
      <c r="H687" s="148"/>
      <c r="AF687" s="4"/>
      <c r="AG687" s="4"/>
    </row>
    <row r="688" spans="5:33" ht="12.75">
      <c r="E688" s="148"/>
      <c r="F688" s="148"/>
      <c r="G688" s="148"/>
      <c r="H688" s="148"/>
      <c r="AF688" s="4"/>
      <c r="AG688" s="4"/>
    </row>
    <row r="689" spans="5:33" ht="12.75">
      <c r="E689" s="148"/>
      <c r="F689" s="148"/>
      <c r="G689" s="148"/>
      <c r="H689" s="148"/>
      <c r="AF689" s="4"/>
      <c r="AG689" s="4"/>
    </row>
    <row r="690" spans="5:33" ht="12.75">
      <c r="E690" s="148"/>
      <c r="F690" s="148"/>
      <c r="G690" s="148"/>
      <c r="H690" s="148"/>
      <c r="AF690" s="4"/>
      <c r="AG690" s="4"/>
    </row>
    <row r="691" spans="5:33" ht="12.75">
      <c r="E691" s="148"/>
      <c r="F691" s="148"/>
      <c r="G691" s="148"/>
      <c r="H691" s="148"/>
      <c r="AF691" s="4"/>
      <c r="AG691" s="4"/>
    </row>
    <row r="692" spans="5:33" ht="12.75">
      <c r="E692" s="148"/>
      <c r="F692" s="148"/>
      <c r="G692" s="148"/>
      <c r="H692" s="148"/>
      <c r="AF692" s="4"/>
      <c r="AG692" s="4"/>
    </row>
    <row r="693" spans="5:33" ht="12.75">
      <c r="E693" s="148"/>
      <c r="F693" s="148"/>
      <c r="G693" s="148"/>
      <c r="H693" s="148"/>
      <c r="AF693" s="4"/>
      <c r="AG693" s="4"/>
    </row>
    <row r="694" spans="5:33" ht="12.75">
      <c r="E694" s="148"/>
      <c r="F694" s="148"/>
      <c r="G694" s="148"/>
      <c r="H694" s="148"/>
      <c r="AF694" s="4"/>
      <c r="AG694" s="4"/>
    </row>
    <row r="695" spans="5:33" ht="12.75">
      <c r="E695" s="148"/>
      <c r="F695" s="148"/>
      <c r="G695" s="148"/>
      <c r="H695" s="148"/>
      <c r="AF695" s="4"/>
      <c r="AG695" s="4"/>
    </row>
    <row r="696" spans="5:33" ht="12.75">
      <c r="E696" s="148"/>
      <c r="F696" s="148"/>
      <c r="G696" s="148"/>
      <c r="H696" s="148"/>
      <c r="AF696" s="4"/>
      <c r="AG696" s="4"/>
    </row>
    <row r="697" spans="5:33" ht="12.75">
      <c r="E697" s="148"/>
      <c r="F697" s="148"/>
      <c r="G697" s="148"/>
      <c r="H697" s="148"/>
      <c r="AF697" s="4"/>
      <c r="AG697" s="4"/>
    </row>
    <row r="698" spans="5:33" ht="12.75">
      <c r="E698" s="148"/>
      <c r="F698" s="148"/>
      <c r="G698" s="148"/>
      <c r="H698" s="148"/>
      <c r="AF698" s="4"/>
      <c r="AG698" s="4"/>
    </row>
    <row r="699" spans="5:33" ht="12.75">
      <c r="E699" s="148"/>
      <c r="F699" s="148"/>
      <c r="G699" s="148"/>
      <c r="H699" s="148"/>
      <c r="AF699" s="4"/>
      <c r="AG699" s="4"/>
    </row>
    <row r="700" spans="5:33" ht="12.75">
      <c r="E700" s="148"/>
      <c r="F700" s="148"/>
      <c r="G700" s="148"/>
      <c r="H700" s="148"/>
      <c r="AF700" s="4"/>
      <c r="AG700" s="4"/>
    </row>
    <row r="701" spans="5:33" ht="12.75">
      <c r="E701" s="148"/>
      <c r="F701" s="148"/>
      <c r="G701" s="148"/>
      <c r="H701" s="148"/>
      <c r="AF701" s="4"/>
      <c r="AG701" s="4"/>
    </row>
    <row r="702" spans="5:33" ht="12.75">
      <c r="E702" s="148"/>
      <c r="F702" s="148"/>
      <c r="G702" s="148"/>
      <c r="H702" s="148"/>
      <c r="AF702" s="4"/>
      <c r="AG702" s="4"/>
    </row>
    <row r="703" spans="5:33" ht="12.75">
      <c r="E703" s="148"/>
      <c r="F703" s="148"/>
      <c r="G703" s="148"/>
      <c r="H703" s="148"/>
      <c r="AF703" s="4"/>
      <c r="AG703" s="4"/>
    </row>
    <row r="704" spans="5:33" ht="12.75">
      <c r="E704" s="148"/>
      <c r="F704" s="148"/>
      <c r="G704" s="148"/>
      <c r="H704" s="148"/>
      <c r="AF704" s="4"/>
      <c r="AG704" s="4"/>
    </row>
    <row r="705" spans="5:33" ht="12.75">
      <c r="E705" s="148"/>
      <c r="F705" s="148"/>
      <c r="G705" s="148"/>
      <c r="H705" s="148"/>
      <c r="AF705" s="4"/>
      <c r="AG705" s="4"/>
    </row>
    <row r="706" spans="5:33" ht="12.75">
      <c r="E706" s="148"/>
      <c r="F706" s="148"/>
      <c r="G706" s="148"/>
      <c r="H706" s="148"/>
      <c r="AF706" s="4"/>
      <c r="AG706" s="4"/>
    </row>
    <row r="707" spans="5:33" ht="12.75">
      <c r="E707" s="148"/>
      <c r="F707" s="148"/>
      <c r="G707" s="148"/>
      <c r="H707" s="148"/>
      <c r="AF707" s="4"/>
      <c r="AG707" s="4"/>
    </row>
    <row r="708" spans="5:33" ht="12.75">
      <c r="E708" s="148"/>
      <c r="F708" s="148"/>
      <c r="G708" s="148"/>
      <c r="H708" s="148"/>
      <c r="AF708" s="4"/>
      <c r="AG708" s="4"/>
    </row>
    <row r="709" spans="5:33" ht="12.75">
      <c r="E709" s="148"/>
      <c r="F709" s="148"/>
      <c r="G709" s="148"/>
      <c r="H709" s="148"/>
      <c r="AF709" s="4"/>
      <c r="AG709" s="4"/>
    </row>
    <row r="710" spans="5:33" ht="12.75">
      <c r="E710" s="148"/>
      <c r="F710" s="148"/>
      <c r="G710" s="148"/>
      <c r="H710" s="148"/>
      <c r="AF710" s="4"/>
      <c r="AG710" s="4"/>
    </row>
    <row r="711" spans="5:33" ht="12.75">
      <c r="E711" s="148"/>
      <c r="F711" s="148"/>
      <c r="G711" s="148"/>
      <c r="H711" s="148"/>
      <c r="AF711" s="4"/>
      <c r="AG711" s="4"/>
    </row>
    <row r="712" spans="5:33" ht="12.75">
      <c r="E712" s="148"/>
      <c r="F712" s="148"/>
      <c r="G712" s="148"/>
      <c r="H712" s="148"/>
      <c r="AF712" s="4"/>
      <c r="AG712" s="4"/>
    </row>
    <row r="713" spans="5:33" ht="12.75">
      <c r="E713" s="148"/>
      <c r="F713" s="148"/>
      <c r="G713" s="148"/>
      <c r="H713" s="148"/>
      <c r="AF713" s="4"/>
      <c r="AG713" s="4"/>
    </row>
    <row r="714" spans="5:33" ht="12.75">
      <c r="E714" s="148"/>
      <c r="F714" s="148"/>
      <c r="G714" s="148"/>
      <c r="H714" s="148"/>
      <c r="AF714" s="4"/>
      <c r="AG714" s="4"/>
    </row>
    <row r="715" spans="5:33" ht="12.75">
      <c r="E715" s="148"/>
      <c r="F715" s="148"/>
      <c r="G715" s="148"/>
      <c r="H715" s="148"/>
      <c r="AF715" s="4"/>
      <c r="AG715" s="4"/>
    </row>
    <row r="716" spans="5:33" ht="12.75">
      <c r="E716" s="148"/>
      <c r="F716" s="148"/>
      <c r="G716" s="148"/>
      <c r="H716" s="148"/>
      <c r="AF716" s="4"/>
      <c r="AG716" s="4"/>
    </row>
    <row r="717" spans="5:33" ht="12.75">
      <c r="E717" s="148"/>
      <c r="F717" s="148"/>
      <c r="G717" s="148"/>
      <c r="H717" s="148"/>
      <c r="AF717" s="4"/>
      <c r="AG717" s="4"/>
    </row>
    <row r="718" spans="5:33" ht="12.75">
      <c r="E718" s="148"/>
      <c r="F718" s="148"/>
      <c r="G718" s="148"/>
      <c r="H718" s="148"/>
      <c r="AF718" s="4"/>
      <c r="AG718" s="4"/>
    </row>
    <row r="719" spans="5:33" ht="12.75">
      <c r="E719" s="148"/>
      <c r="F719" s="148"/>
      <c r="G719" s="148"/>
      <c r="H719" s="148"/>
      <c r="AF719" s="4"/>
      <c r="AG719" s="4"/>
    </row>
    <row r="720" spans="5:33" ht="12.75">
      <c r="E720" s="148"/>
      <c r="F720" s="148"/>
      <c r="G720" s="148"/>
      <c r="H720" s="148"/>
      <c r="AF720" s="4"/>
      <c r="AG720" s="4"/>
    </row>
    <row r="721" spans="5:33" ht="12.75">
      <c r="E721" s="148"/>
      <c r="F721" s="148"/>
      <c r="G721" s="148"/>
      <c r="H721" s="148"/>
      <c r="AF721" s="4"/>
      <c r="AG721" s="4"/>
    </row>
    <row r="722" spans="5:33" ht="12.75">
      <c r="E722" s="148"/>
      <c r="F722" s="148"/>
      <c r="G722" s="148"/>
      <c r="H722" s="148"/>
      <c r="AF722" s="4"/>
      <c r="AG722" s="4"/>
    </row>
    <row r="723" spans="5:33" ht="12.75">
      <c r="E723" s="148"/>
      <c r="F723" s="148"/>
      <c r="G723" s="148"/>
      <c r="H723" s="148"/>
      <c r="AF723" s="4"/>
      <c r="AG723" s="4"/>
    </row>
    <row r="724" spans="5:33" ht="12.75">
      <c r="E724" s="148"/>
      <c r="F724" s="148"/>
      <c r="G724" s="148"/>
      <c r="H724" s="148"/>
      <c r="AF724" s="4"/>
      <c r="AG724" s="4"/>
    </row>
    <row r="725" spans="5:33" ht="12.75">
      <c r="E725" s="148"/>
      <c r="F725" s="148"/>
      <c r="G725" s="148"/>
      <c r="H725" s="148"/>
      <c r="AF725" s="4"/>
      <c r="AG725" s="4"/>
    </row>
    <row r="726" spans="5:33" ht="12.75">
      <c r="E726" s="148"/>
      <c r="F726" s="148"/>
      <c r="G726" s="148"/>
      <c r="H726" s="148"/>
      <c r="AF726" s="4"/>
      <c r="AG726" s="4"/>
    </row>
    <row r="727" spans="5:33" ht="12.75">
      <c r="E727" s="148"/>
      <c r="F727" s="148"/>
      <c r="G727" s="148"/>
      <c r="H727" s="148"/>
      <c r="AF727" s="4"/>
      <c r="AG727" s="4"/>
    </row>
    <row r="728" spans="5:33" ht="12.75">
      <c r="E728" s="148"/>
      <c r="F728" s="148"/>
      <c r="G728" s="148"/>
      <c r="H728" s="148"/>
      <c r="AF728" s="4"/>
      <c r="AG728" s="4"/>
    </row>
    <row r="729" spans="5:33" ht="12.75">
      <c r="E729" s="148"/>
      <c r="F729" s="148"/>
      <c r="G729" s="148"/>
      <c r="H729" s="148"/>
      <c r="AF729" s="4"/>
      <c r="AG729" s="4"/>
    </row>
    <row r="730" spans="5:33" ht="12.75">
      <c r="E730" s="148"/>
      <c r="F730" s="148"/>
      <c r="G730" s="148"/>
      <c r="H730" s="148"/>
      <c r="AF730" s="4"/>
      <c r="AG730" s="4"/>
    </row>
    <row r="731" spans="5:33" ht="12.75">
      <c r="E731" s="148"/>
      <c r="F731" s="148"/>
      <c r="G731" s="148"/>
      <c r="H731" s="148"/>
      <c r="AF731" s="4"/>
      <c r="AG731" s="4"/>
    </row>
    <row r="732" spans="5:33" ht="12.75">
      <c r="E732" s="148"/>
      <c r="F732" s="148"/>
      <c r="G732" s="148"/>
      <c r="H732" s="148"/>
      <c r="AF732" s="4"/>
      <c r="AG732" s="4"/>
    </row>
    <row r="733" spans="5:33" ht="12.75">
      <c r="E733" s="148"/>
      <c r="F733" s="148"/>
      <c r="G733" s="148"/>
      <c r="H733" s="148"/>
      <c r="AF733" s="4"/>
      <c r="AG733" s="4"/>
    </row>
    <row r="734" spans="5:33" ht="12.75">
      <c r="E734" s="148"/>
      <c r="F734" s="148"/>
      <c r="G734" s="148"/>
      <c r="H734" s="148"/>
      <c r="AF734" s="4"/>
      <c r="AG734" s="4"/>
    </row>
    <row r="735" spans="5:33" ht="12.75">
      <c r="E735" s="148"/>
      <c r="F735" s="148"/>
      <c r="G735" s="148"/>
      <c r="H735" s="148"/>
      <c r="AF735" s="4"/>
      <c r="AG735" s="4"/>
    </row>
    <row r="736" spans="5:33" ht="12.75">
      <c r="E736" s="148"/>
      <c r="F736" s="148"/>
      <c r="G736" s="148"/>
      <c r="H736" s="148"/>
      <c r="AF736" s="4"/>
      <c r="AG736" s="4"/>
    </row>
    <row r="737" spans="5:33" ht="12.75">
      <c r="E737" s="148"/>
      <c r="F737" s="148"/>
      <c r="G737" s="148"/>
      <c r="H737" s="148"/>
      <c r="AF737" s="4"/>
      <c r="AG737" s="4"/>
    </row>
    <row r="738" spans="5:33" ht="12.75">
      <c r="E738" s="148"/>
      <c r="F738" s="148"/>
      <c r="G738" s="148"/>
      <c r="H738" s="148"/>
      <c r="AF738" s="4"/>
      <c r="AG738" s="4"/>
    </row>
    <row r="739" spans="5:33" ht="12.75">
      <c r="E739" s="148"/>
      <c r="F739" s="148"/>
      <c r="G739" s="148"/>
      <c r="H739" s="148"/>
      <c r="AF739" s="4"/>
      <c r="AG739" s="4"/>
    </row>
    <row r="740" spans="5:33" ht="12.75">
      <c r="E740" s="148"/>
      <c r="F740" s="148"/>
      <c r="G740" s="148"/>
      <c r="H740" s="148"/>
      <c r="AF740" s="4"/>
      <c r="AG740" s="4"/>
    </row>
    <row r="741" spans="5:33" ht="12.75">
      <c r="E741" s="148"/>
      <c r="F741" s="148"/>
      <c r="G741" s="148"/>
      <c r="H741" s="148"/>
      <c r="AF741" s="4"/>
      <c r="AG741" s="4"/>
    </row>
    <row r="742" spans="5:33" ht="12.75">
      <c r="E742" s="148"/>
      <c r="F742" s="148"/>
      <c r="G742" s="148"/>
      <c r="H742" s="148"/>
      <c r="AF742" s="4"/>
      <c r="AG742" s="4"/>
    </row>
    <row r="743" spans="5:33" ht="12.75">
      <c r="E743" s="148"/>
      <c r="F743" s="148"/>
      <c r="G743" s="148"/>
      <c r="H743" s="148"/>
      <c r="AF743" s="4"/>
      <c r="AG743" s="4"/>
    </row>
    <row r="744" spans="5:33" ht="12.75">
      <c r="E744" s="148"/>
      <c r="F744" s="148"/>
      <c r="G744" s="148"/>
      <c r="H744" s="148"/>
      <c r="AF744" s="4"/>
      <c r="AG744" s="4"/>
    </row>
    <row r="745" spans="5:33" ht="12.75">
      <c r="E745" s="148"/>
      <c r="F745" s="148"/>
      <c r="G745" s="148"/>
      <c r="H745" s="148"/>
      <c r="AF745" s="4"/>
      <c r="AG745" s="4"/>
    </row>
    <row r="746" spans="5:33" ht="12.75">
      <c r="E746" s="148"/>
      <c r="F746" s="148"/>
      <c r="G746" s="148"/>
      <c r="H746" s="148"/>
      <c r="AF746" s="4"/>
      <c r="AG746" s="4"/>
    </row>
    <row r="747" spans="5:33" ht="12.75">
      <c r="E747" s="148"/>
      <c r="F747" s="148"/>
      <c r="G747" s="148"/>
      <c r="H747" s="148"/>
      <c r="AF747" s="4"/>
      <c r="AG747" s="4"/>
    </row>
    <row r="748" spans="5:33" ht="12.75">
      <c r="E748" s="148"/>
      <c r="F748" s="148"/>
      <c r="G748" s="148"/>
      <c r="H748" s="148"/>
      <c r="AF748" s="4"/>
      <c r="AG748" s="4"/>
    </row>
    <row r="749" spans="5:33" ht="12.75">
      <c r="E749" s="148"/>
      <c r="F749" s="148"/>
      <c r="G749" s="148"/>
      <c r="H749" s="148"/>
      <c r="AF749" s="4"/>
      <c r="AG749" s="4"/>
    </row>
    <row r="750" spans="5:33" ht="12.75">
      <c r="E750" s="148"/>
      <c r="F750" s="148"/>
      <c r="G750" s="148"/>
      <c r="H750" s="148"/>
      <c r="AF750" s="4"/>
      <c r="AG750" s="4"/>
    </row>
    <row r="751" spans="5:33" ht="12.75">
      <c r="E751" s="148"/>
      <c r="F751" s="148"/>
      <c r="G751" s="148"/>
      <c r="H751" s="148"/>
      <c r="AF751" s="4"/>
      <c r="AG751" s="4"/>
    </row>
    <row r="752" spans="5:33" ht="12.75">
      <c r="E752" s="148"/>
      <c r="F752" s="148"/>
      <c r="G752" s="148"/>
      <c r="H752" s="148"/>
      <c r="AF752" s="4"/>
      <c r="AG752" s="4"/>
    </row>
    <row r="753" spans="5:33" ht="12.75">
      <c r="E753" s="148"/>
      <c r="F753" s="148"/>
      <c r="G753" s="148"/>
      <c r="H753" s="148"/>
      <c r="AF753" s="4"/>
      <c r="AG753" s="4"/>
    </row>
    <row r="754" spans="5:33" ht="12.75">
      <c r="E754" s="148"/>
      <c r="F754" s="148"/>
      <c r="G754" s="148"/>
      <c r="H754" s="148"/>
      <c r="AF754" s="4"/>
      <c r="AG754" s="4"/>
    </row>
    <row r="755" spans="5:33" ht="12.75">
      <c r="E755" s="148"/>
      <c r="F755" s="148"/>
      <c r="G755" s="148"/>
      <c r="H755" s="148"/>
      <c r="AF755" s="4"/>
      <c r="AG755" s="4"/>
    </row>
    <row r="756" spans="5:33" ht="12.75">
      <c r="E756" s="148"/>
      <c r="F756" s="148"/>
      <c r="G756" s="148"/>
      <c r="H756" s="148"/>
      <c r="AF756" s="4"/>
      <c r="AG756" s="4"/>
    </row>
    <row r="757" spans="5:33" ht="12.75">
      <c r="E757" s="148"/>
      <c r="F757" s="148"/>
      <c r="G757" s="148"/>
      <c r="H757" s="148"/>
      <c r="AF757" s="4"/>
      <c r="AG757" s="4"/>
    </row>
    <row r="758" spans="5:33" ht="12.75">
      <c r="E758" s="148"/>
      <c r="F758" s="148"/>
      <c r="G758" s="148"/>
      <c r="H758" s="148"/>
      <c r="AF758" s="4"/>
      <c r="AG758" s="4"/>
    </row>
    <row r="759" spans="5:33" ht="12.75">
      <c r="E759" s="148"/>
      <c r="F759" s="148"/>
      <c r="G759" s="148"/>
      <c r="H759" s="148"/>
      <c r="AF759" s="4"/>
      <c r="AG759" s="4"/>
    </row>
    <row r="760" spans="5:33" ht="12.75">
      <c r="E760" s="148"/>
      <c r="F760" s="148"/>
      <c r="G760" s="148"/>
      <c r="H760" s="148"/>
      <c r="AF760" s="4"/>
      <c r="AG760" s="4"/>
    </row>
    <row r="761" spans="5:33" ht="12.75">
      <c r="E761" s="148"/>
      <c r="F761" s="148"/>
      <c r="G761" s="148"/>
      <c r="H761" s="148"/>
      <c r="AF761" s="4"/>
      <c r="AG761" s="4"/>
    </row>
    <row r="762" spans="5:33" ht="12.75">
      <c r="E762" s="148"/>
      <c r="F762" s="148"/>
      <c r="G762" s="148"/>
      <c r="H762" s="148"/>
      <c r="AF762" s="4"/>
      <c r="AG762" s="4"/>
    </row>
    <row r="763" spans="5:33" ht="12.75">
      <c r="E763" s="148"/>
      <c r="F763" s="148"/>
      <c r="G763" s="148"/>
      <c r="H763" s="148"/>
      <c r="AF763" s="4"/>
      <c r="AG763" s="4"/>
    </row>
    <row r="764" spans="5:33" ht="12.75">
      <c r="E764" s="148"/>
      <c r="F764" s="148"/>
      <c r="G764" s="148"/>
      <c r="H764" s="148"/>
      <c r="AF764" s="4"/>
      <c r="AG764" s="4"/>
    </row>
    <row r="765" spans="5:33" ht="12.75">
      <c r="E765" s="148"/>
      <c r="F765" s="148"/>
      <c r="G765" s="148"/>
      <c r="H765" s="148"/>
      <c r="AF765" s="4"/>
      <c r="AG765" s="4"/>
    </row>
    <row r="766" spans="5:33" ht="12.75">
      <c r="E766" s="148"/>
      <c r="F766" s="148"/>
      <c r="G766" s="148"/>
      <c r="H766" s="148"/>
      <c r="AF766" s="4"/>
      <c r="AG766" s="4"/>
    </row>
    <row r="767" spans="5:33" ht="12.75">
      <c r="E767" s="148"/>
      <c r="F767" s="148"/>
      <c r="G767" s="148"/>
      <c r="H767" s="148"/>
      <c r="AF767" s="4"/>
      <c r="AG767" s="4"/>
    </row>
    <row r="768" spans="5:33" ht="12.75">
      <c r="E768" s="148"/>
      <c r="F768" s="148"/>
      <c r="G768" s="148"/>
      <c r="H768" s="148"/>
      <c r="AF768" s="4"/>
      <c r="AG768" s="4"/>
    </row>
    <row r="769" spans="5:33" ht="12.75">
      <c r="E769" s="148"/>
      <c r="F769" s="148"/>
      <c r="G769" s="148"/>
      <c r="H769" s="148"/>
      <c r="AF769" s="4"/>
      <c r="AG769" s="4"/>
    </row>
    <row r="770" spans="5:33" ht="12.75">
      <c r="E770" s="148"/>
      <c r="F770" s="148"/>
      <c r="G770" s="148"/>
      <c r="H770" s="148"/>
      <c r="AF770" s="4"/>
      <c r="AG770" s="4"/>
    </row>
    <row r="771" spans="5:33" ht="12.75">
      <c r="E771" s="148"/>
      <c r="F771" s="148"/>
      <c r="G771" s="148"/>
      <c r="H771" s="148"/>
      <c r="AF771" s="4"/>
      <c r="AG771" s="4"/>
    </row>
    <row r="772" spans="5:33" ht="12.75">
      <c r="E772" s="148"/>
      <c r="F772" s="148"/>
      <c r="G772" s="148"/>
      <c r="H772" s="148"/>
      <c r="AF772" s="4"/>
      <c r="AG772" s="4"/>
    </row>
    <row r="773" spans="5:33" ht="12.75">
      <c r="E773" s="148"/>
      <c r="F773" s="148"/>
      <c r="G773" s="148"/>
      <c r="H773" s="148"/>
      <c r="AF773" s="4"/>
      <c r="AG773" s="4"/>
    </row>
    <row r="774" spans="5:33" ht="12.75">
      <c r="E774" s="148"/>
      <c r="F774" s="148"/>
      <c r="G774" s="148"/>
      <c r="H774" s="148"/>
      <c r="AF774" s="4"/>
      <c r="AG774" s="4"/>
    </row>
    <row r="775" spans="5:33" ht="12.75">
      <c r="E775" s="148"/>
      <c r="F775" s="148"/>
      <c r="G775" s="148"/>
      <c r="H775" s="148"/>
      <c r="AF775" s="4"/>
      <c r="AG775" s="4"/>
    </row>
    <row r="776" spans="5:33" ht="12.75">
      <c r="E776" s="148"/>
      <c r="F776" s="148"/>
      <c r="G776" s="148"/>
      <c r="H776" s="148"/>
      <c r="AF776" s="4"/>
      <c r="AG776" s="4"/>
    </row>
    <row r="777" spans="5:33" ht="12.75">
      <c r="E777" s="148"/>
      <c r="F777" s="148"/>
      <c r="G777" s="148"/>
      <c r="H777" s="148"/>
      <c r="AF777" s="4"/>
      <c r="AG777" s="4"/>
    </row>
    <row r="778" spans="5:33" ht="12.75">
      <c r="E778" s="148"/>
      <c r="F778" s="148"/>
      <c r="G778" s="148"/>
      <c r="H778" s="148"/>
      <c r="AF778" s="4"/>
      <c r="AG778" s="4"/>
    </row>
    <row r="779" spans="5:33" ht="12.75">
      <c r="E779" s="148"/>
      <c r="F779" s="148"/>
      <c r="G779" s="148"/>
      <c r="H779" s="148"/>
      <c r="AF779" s="4"/>
      <c r="AG779" s="4"/>
    </row>
    <row r="780" spans="5:33" ht="12.75">
      <c r="E780" s="148"/>
      <c r="F780" s="148"/>
      <c r="G780" s="148"/>
      <c r="H780" s="148"/>
      <c r="AF780" s="4"/>
      <c r="AG780" s="4"/>
    </row>
    <row r="781" spans="5:33" ht="12.75">
      <c r="E781" s="148"/>
      <c r="F781" s="148"/>
      <c r="G781" s="148"/>
      <c r="H781" s="148"/>
      <c r="AF781" s="4"/>
      <c r="AG781" s="4"/>
    </row>
    <row r="782" spans="5:33" ht="12.75">
      <c r="E782" s="148"/>
      <c r="F782" s="148"/>
      <c r="G782" s="148"/>
      <c r="H782" s="148"/>
      <c r="AF782" s="4"/>
      <c r="AG782" s="4"/>
    </row>
    <row r="783" spans="5:33" ht="12.75">
      <c r="E783" s="148"/>
      <c r="F783" s="148"/>
      <c r="G783" s="148"/>
      <c r="H783" s="148"/>
      <c r="AF783" s="4"/>
      <c r="AG783" s="4"/>
    </row>
    <row r="784" spans="5:33" ht="12.75">
      <c r="E784" s="148"/>
      <c r="F784" s="148"/>
      <c r="G784" s="148"/>
      <c r="H784" s="148"/>
      <c r="AF784" s="4"/>
      <c r="AG784" s="4"/>
    </row>
    <row r="785" spans="5:33" ht="12.75">
      <c r="E785" s="148"/>
      <c r="F785" s="148"/>
      <c r="G785" s="148"/>
      <c r="H785" s="148"/>
      <c r="AF785" s="4"/>
      <c r="AG785" s="4"/>
    </row>
    <row r="786" spans="5:33" ht="12.75">
      <c r="E786" s="148"/>
      <c r="F786" s="148"/>
      <c r="G786" s="148"/>
      <c r="H786" s="148"/>
      <c r="AF786" s="4"/>
      <c r="AG786" s="4"/>
    </row>
    <row r="787" spans="5:33" ht="12.75">
      <c r="E787" s="148"/>
      <c r="F787" s="148"/>
      <c r="G787" s="148"/>
      <c r="H787" s="148"/>
      <c r="AF787" s="4"/>
      <c r="AG787" s="4"/>
    </row>
    <row r="788" spans="5:33" ht="12.75">
      <c r="E788" s="148"/>
      <c r="F788" s="148"/>
      <c r="G788" s="148"/>
      <c r="H788" s="148"/>
      <c r="AF788" s="4"/>
      <c r="AG788" s="4"/>
    </row>
    <row r="789" spans="5:33" ht="12.75">
      <c r="E789" s="148"/>
      <c r="F789" s="148"/>
      <c r="G789" s="148"/>
      <c r="H789" s="148"/>
      <c r="AF789" s="4"/>
      <c r="AG789" s="4"/>
    </row>
    <row r="790" spans="5:33" ht="12.75">
      <c r="E790" s="148"/>
      <c r="F790" s="148"/>
      <c r="G790" s="148"/>
      <c r="H790" s="148"/>
      <c r="AF790" s="4"/>
      <c r="AG790" s="4"/>
    </row>
    <row r="791" spans="5:33" ht="12.75">
      <c r="E791" s="148"/>
      <c r="F791" s="148"/>
      <c r="G791" s="148"/>
      <c r="H791" s="148"/>
      <c r="AF791" s="4"/>
      <c r="AG791" s="4"/>
    </row>
    <row r="792" spans="5:33" ht="12.75">
      <c r="E792" s="148"/>
      <c r="F792" s="148"/>
      <c r="G792" s="148"/>
      <c r="H792" s="148"/>
      <c r="AF792" s="4"/>
      <c r="AG792" s="4"/>
    </row>
    <row r="793" spans="5:33" ht="12.75">
      <c r="E793" s="148"/>
      <c r="F793" s="148"/>
      <c r="G793" s="148"/>
      <c r="H793" s="148"/>
      <c r="AF793" s="4"/>
      <c r="AG793" s="4"/>
    </row>
    <row r="794" spans="5:33" ht="12.75">
      <c r="E794" s="148"/>
      <c r="F794" s="148"/>
      <c r="G794" s="148"/>
      <c r="H794" s="148"/>
      <c r="AF794" s="4"/>
      <c r="AG794" s="4"/>
    </row>
    <row r="795" spans="5:33" ht="12.75">
      <c r="E795" s="148"/>
      <c r="F795" s="148"/>
      <c r="G795" s="148"/>
      <c r="H795" s="148"/>
      <c r="AF795" s="4"/>
      <c r="AG795" s="4"/>
    </row>
    <row r="796" spans="5:33" ht="12.75">
      <c r="E796" s="148"/>
      <c r="F796" s="148"/>
      <c r="G796" s="148"/>
      <c r="H796" s="148"/>
      <c r="AF796" s="4"/>
      <c r="AG796" s="4"/>
    </row>
    <row r="797" spans="5:33" ht="12.75">
      <c r="E797" s="148"/>
      <c r="F797" s="148"/>
      <c r="G797" s="148"/>
      <c r="H797" s="148"/>
      <c r="AF797" s="4"/>
      <c r="AG797" s="4"/>
    </row>
    <row r="798" spans="5:33" ht="12.75">
      <c r="E798" s="148"/>
      <c r="F798" s="148"/>
      <c r="G798" s="148"/>
      <c r="H798" s="148"/>
      <c r="AF798" s="4"/>
      <c r="AG798" s="4"/>
    </row>
    <row r="799" spans="5:33" ht="12.75">
      <c r="E799" s="148"/>
      <c r="F799" s="148"/>
      <c r="G799" s="148"/>
      <c r="H799" s="148"/>
      <c r="AF799" s="4"/>
      <c r="AG799" s="4"/>
    </row>
    <row r="800" spans="5:33" ht="12.75">
      <c r="E800" s="148"/>
      <c r="F800" s="148"/>
      <c r="G800" s="148"/>
      <c r="H800" s="148"/>
      <c r="AF800" s="4"/>
      <c r="AG800" s="4"/>
    </row>
    <row r="801" spans="5:33" ht="12.75">
      <c r="E801" s="148"/>
      <c r="F801" s="148"/>
      <c r="G801" s="148"/>
      <c r="H801" s="148"/>
      <c r="AF801" s="4"/>
      <c r="AG801" s="4"/>
    </row>
    <row r="802" spans="5:33" ht="12.75">
      <c r="E802" s="148"/>
      <c r="F802" s="148"/>
      <c r="G802" s="148"/>
      <c r="H802" s="148"/>
      <c r="AF802" s="4"/>
      <c r="AG802" s="4"/>
    </row>
    <row r="803" spans="5:33" ht="12.75">
      <c r="E803" s="148"/>
      <c r="F803" s="148"/>
      <c r="G803" s="148"/>
      <c r="H803" s="148"/>
      <c r="AF803" s="4"/>
      <c r="AG803" s="4"/>
    </row>
    <row r="804" spans="5:33" ht="12.75">
      <c r="E804" s="148"/>
      <c r="F804" s="148"/>
      <c r="G804" s="148"/>
      <c r="H804" s="148"/>
      <c r="AF804" s="4"/>
      <c r="AG804" s="4"/>
    </row>
    <row r="805" spans="5:33" ht="12.75">
      <c r="E805" s="148"/>
      <c r="F805" s="148"/>
      <c r="G805" s="148"/>
      <c r="H805" s="148"/>
      <c r="AF805" s="4"/>
      <c r="AG805" s="4"/>
    </row>
    <row r="806" spans="5:33" ht="12.75">
      <c r="E806" s="148"/>
      <c r="F806" s="148"/>
      <c r="G806" s="148"/>
      <c r="H806" s="148"/>
      <c r="AF806" s="4"/>
      <c r="AG806" s="4"/>
    </row>
    <row r="807" spans="5:33" ht="12.75">
      <c r="E807" s="148"/>
      <c r="F807" s="148"/>
      <c r="G807" s="148"/>
      <c r="H807" s="148"/>
      <c r="AF807" s="4"/>
      <c r="AG807" s="4"/>
    </row>
    <row r="808" spans="5:33" ht="12.75">
      <c r="E808" s="148"/>
      <c r="F808" s="148"/>
      <c r="G808" s="148"/>
      <c r="H808" s="148"/>
      <c r="AF808" s="4"/>
      <c r="AG808" s="4"/>
    </row>
    <row r="809" spans="5:33" ht="12.75">
      <c r="E809" s="148"/>
      <c r="F809" s="148"/>
      <c r="G809" s="148"/>
      <c r="H809" s="148"/>
      <c r="AF809" s="4"/>
      <c r="AG809" s="4"/>
    </row>
    <row r="810" spans="5:33" ht="12.75">
      <c r="E810" s="148"/>
      <c r="F810" s="148"/>
      <c r="G810" s="148"/>
      <c r="H810" s="148"/>
      <c r="AF810" s="4"/>
      <c r="AG810" s="4"/>
    </row>
    <row r="811" spans="5:33" ht="12.75">
      <c r="E811" s="148"/>
      <c r="F811" s="148"/>
      <c r="G811" s="148"/>
      <c r="H811" s="148"/>
      <c r="AF811" s="4"/>
      <c r="AG811" s="4"/>
    </row>
    <row r="812" spans="5:33" ht="12.75">
      <c r="E812" s="148"/>
      <c r="F812" s="148"/>
      <c r="G812" s="148"/>
      <c r="H812" s="148"/>
      <c r="AF812" s="4"/>
      <c r="AG812" s="4"/>
    </row>
    <row r="813" spans="5:33" ht="12.75">
      <c r="E813" s="148"/>
      <c r="F813" s="148"/>
      <c r="G813" s="148"/>
      <c r="H813" s="148"/>
      <c r="AF813" s="4"/>
      <c r="AG813" s="4"/>
    </row>
    <row r="814" spans="5:33" ht="12.75">
      <c r="E814" s="148"/>
      <c r="F814" s="148"/>
      <c r="G814" s="148"/>
      <c r="H814" s="148"/>
      <c r="AF814" s="4"/>
      <c r="AG814" s="4"/>
    </row>
    <row r="815" spans="5:33" ht="12.75">
      <c r="E815" s="148"/>
      <c r="F815" s="148"/>
      <c r="G815" s="148"/>
      <c r="H815" s="148"/>
      <c r="AF815" s="4"/>
      <c r="AG815" s="4"/>
    </row>
    <row r="816" spans="5:33" ht="12.75">
      <c r="E816" s="148"/>
      <c r="F816" s="148"/>
      <c r="G816" s="148"/>
      <c r="H816" s="148"/>
      <c r="AF816" s="4"/>
      <c r="AG816" s="4"/>
    </row>
    <row r="817" spans="5:33" ht="12.75">
      <c r="E817" s="148"/>
      <c r="F817" s="148"/>
      <c r="G817" s="148"/>
      <c r="H817" s="148"/>
      <c r="AF817" s="4"/>
      <c r="AG817" s="4"/>
    </row>
    <row r="818" spans="5:33" ht="12.75">
      <c r="E818" s="148"/>
      <c r="F818" s="148"/>
      <c r="G818" s="148"/>
      <c r="H818" s="148"/>
      <c r="AF818" s="4"/>
      <c r="AG818" s="4"/>
    </row>
    <row r="819" spans="5:33" ht="12.75">
      <c r="E819" s="148"/>
      <c r="F819" s="148"/>
      <c r="G819" s="148"/>
      <c r="H819" s="148"/>
      <c r="AF819" s="4"/>
      <c r="AG819" s="4"/>
    </row>
    <row r="820" spans="5:33" ht="12.75">
      <c r="E820" s="148"/>
      <c r="F820" s="148"/>
      <c r="G820" s="148"/>
      <c r="H820" s="148"/>
      <c r="AF820" s="4"/>
      <c r="AG820" s="4"/>
    </row>
    <row r="821" spans="5:33" ht="12.75">
      <c r="E821" s="148"/>
      <c r="F821" s="148"/>
      <c r="G821" s="148"/>
      <c r="H821" s="148"/>
      <c r="AF821" s="4"/>
      <c r="AG821" s="4"/>
    </row>
    <row r="822" spans="5:33" ht="12.75">
      <c r="E822" s="148"/>
      <c r="F822" s="148"/>
      <c r="G822" s="148"/>
      <c r="H822" s="148"/>
      <c r="AF822" s="4"/>
      <c r="AG822" s="4"/>
    </row>
    <row r="823" spans="5:33" ht="12.75">
      <c r="E823" s="148"/>
      <c r="F823" s="148"/>
      <c r="G823" s="148"/>
      <c r="H823" s="148"/>
      <c r="AF823" s="4"/>
      <c r="AG823" s="4"/>
    </row>
    <row r="824" spans="5:33" ht="12.75">
      <c r="E824" s="148"/>
      <c r="F824" s="148"/>
      <c r="G824" s="148"/>
      <c r="H824" s="148"/>
      <c r="AF824" s="4"/>
      <c r="AG824" s="4"/>
    </row>
    <row r="825" spans="5:33" ht="12.75">
      <c r="E825" s="148"/>
      <c r="F825" s="148"/>
      <c r="G825" s="148"/>
      <c r="H825" s="148"/>
      <c r="AF825" s="4"/>
      <c r="AG825" s="4"/>
    </row>
    <row r="826" spans="5:33" ht="12.75">
      <c r="E826" s="148"/>
      <c r="F826" s="148"/>
      <c r="G826" s="148"/>
      <c r="H826" s="148"/>
      <c r="AF826" s="4"/>
      <c r="AG826" s="4"/>
    </row>
    <row r="827" spans="5:33" ht="12.75">
      <c r="E827" s="148"/>
      <c r="F827" s="148"/>
      <c r="G827" s="148"/>
      <c r="H827" s="148"/>
      <c r="AF827" s="4"/>
      <c r="AG827" s="4"/>
    </row>
    <row r="828" spans="5:33" ht="12.75">
      <c r="E828" s="148"/>
      <c r="F828" s="148"/>
      <c r="G828" s="148"/>
      <c r="H828" s="148"/>
      <c r="AF828" s="4"/>
      <c r="AG828" s="4"/>
    </row>
    <row r="829" spans="5:33" ht="12.75">
      <c r="E829" s="148"/>
      <c r="F829" s="148"/>
      <c r="G829" s="148"/>
      <c r="H829" s="148"/>
      <c r="AF829" s="4"/>
      <c r="AG829" s="4"/>
    </row>
    <row r="830" spans="5:33" ht="12.75">
      <c r="E830" s="148"/>
      <c r="F830" s="148"/>
      <c r="G830" s="148"/>
      <c r="H830" s="148"/>
      <c r="AF830" s="4"/>
      <c r="AG830" s="4"/>
    </row>
    <row r="831" spans="5:33" ht="12.75">
      <c r="E831" s="148"/>
      <c r="F831" s="148"/>
      <c r="G831" s="148"/>
      <c r="H831" s="148"/>
      <c r="AF831" s="4"/>
      <c r="AG831" s="4"/>
    </row>
    <row r="832" spans="5:33" ht="12.75">
      <c r="E832" s="148"/>
      <c r="F832" s="148"/>
      <c r="G832" s="148"/>
      <c r="H832" s="148"/>
      <c r="AF832" s="4"/>
      <c r="AG832" s="4"/>
    </row>
    <row r="833" spans="5:33" ht="12.75">
      <c r="E833" s="148"/>
      <c r="F833" s="148"/>
      <c r="G833" s="148"/>
      <c r="H833" s="148"/>
      <c r="AF833" s="4"/>
      <c r="AG833" s="4"/>
    </row>
    <row r="834" spans="5:33" ht="12.75">
      <c r="E834" s="148"/>
      <c r="F834" s="148"/>
      <c r="G834" s="148"/>
      <c r="H834" s="148"/>
      <c r="AF834" s="4"/>
      <c r="AG834" s="4"/>
    </row>
    <row r="835" spans="5:33" ht="12.75">
      <c r="E835" s="148"/>
      <c r="F835" s="148"/>
      <c r="G835" s="148"/>
      <c r="H835" s="148"/>
      <c r="AF835" s="4"/>
      <c r="AG835" s="4"/>
    </row>
    <row r="836" spans="5:33" ht="12.75">
      <c r="E836" s="148"/>
      <c r="F836" s="148"/>
      <c r="G836" s="148"/>
      <c r="H836" s="148"/>
      <c r="AF836" s="4"/>
      <c r="AG836" s="4"/>
    </row>
    <row r="837" spans="5:33" ht="12.75">
      <c r="E837" s="148"/>
      <c r="F837" s="148"/>
      <c r="G837" s="148"/>
      <c r="H837" s="148"/>
      <c r="AF837" s="4"/>
      <c r="AG837" s="4"/>
    </row>
    <row r="838" spans="5:33" ht="12.75">
      <c r="E838" s="148"/>
      <c r="F838" s="148"/>
      <c r="G838" s="148"/>
      <c r="H838" s="148"/>
      <c r="AF838" s="4"/>
      <c r="AG838" s="4"/>
    </row>
    <row r="839" spans="5:33" ht="12.75">
      <c r="E839" s="148"/>
      <c r="F839" s="148"/>
      <c r="G839" s="148"/>
      <c r="H839" s="148"/>
      <c r="AF839" s="4"/>
      <c r="AG839" s="4"/>
    </row>
    <row r="840" spans="5:33" ht="12.75">
      <c r="E840" s="148"/>
      <c r="F840" s="148"/>
      <c r="G840" s="148"/>
      <c r="H840" s="148"/>
      <c r="AF840" s="4"/>
      <c r="AG840" s="4"/>
    </row>
    <row r="841" spans="5:33" ht="12.75">
      <c r="E841" s="148"/>
      <c r="F841" s="148"/>
      <c r="G841" s="148"/>
      <c r="H841" s="148"/>
      <c r="AF841" s="4"/>
      <c r="AG841" s="4"/>
    </row>
    <row r="842" spans="5:33" ht="12.75">
      <c r="E842" s="148"/>
      <c r="F842" s="148"/>
      <c r="G842" s="148"/>
      <c r="H842" s="148"/>
      <c r="AF842" s="4"/>
      <c r="AG842" s="4"/>
    </row>
    <row r="843" spans="5:33" ht="12.75">
      <c r="E843" s="148"/>
      <c r="F843" s="148"/>
      <c r="G843" s="148"/>
      <c r="H843" s="148"/>
      <c r="AF843" s="4"/>
      <c r="AG843" s="4"/>
    </row>
    <row r="844" spans="5:33" ht="12.75">
      <c r="E844" s="148"/>
      <c r="F844" s="148"/>
      <c r="G844" s="148"/>
      <c r="H844" s="148"/>
      <c r="AF844" s="4"/>
      <c r="AG844" s="4"/>
    </row>
    <row r="845" spans="5:33" ht="12.75">
      <c r="E845" s="148"/>
      <c r="F845" s="148"/>
      <c r="G845" s="148"/>
      <c r="H845" s="148"/>
      <c r="AF845" s="4"/>
      <c r="AG845" s="4"/>
    </row>
    <row r="846" spans="5:33" ht="12.75">
      <c r="E846" s="148"/>
      <c r="F846" s="148"/>
      <c r="G846" s="148"/>
      <c r="H846" s="148"/>
      <c r="AF846" s="4"/>
      <c r="AG846" s="4"/>
    </row>
    <row r="847" spans="5:33" ht="12.75">
      <c r="E847" s="148"/>
      <c r="F847" s="148"/>
      <c r="G847" s="148"/>
      <c r="H847" s="148"/>
      <c r="AF847" s="4"/>
      <c r="AG847" s="4"/>
    </row>
    <row r="848" spans="5:33" ht="12.75">
      <c r="E848" s="148"/>
      <c r="F848" s="148"/>
      <c r="G848" s="148"/>
      <c r="H848" s="148"/>
      <c r="AF848" s="4"/>
      <c r="AG848" s="4"/>
    </row>
    <row r="849" spans="5:33" ht="12.75">
      <c r="E849" s="148"/>
      <c r="F849" s="148"/>
      <c r="G849" s="148"/>
      <c r="H849" s="148"/>
      <c r="AF849" s="4"/>
      <c r="AG849" s="4"/>
    </row>
    <row r="850" spans="5:33" ht="12.75">
      <c r="E850" s="148"/>
      <c r="F850" s="148"/>
      <c r="G850" s="148"/>
      <c r="H850" s="148"/>
      <c r="AF850" s="4"/>
      <c r="AG850" s="4"/>
    </row>
    <row r="851" spans="5:33" ht="12.75">
      <c r="E851" s="148"/>
      <c r="F851" s="148"/>
      <c r="G851" s="148"/>
      <c r="H851" s="148"/>
      <c r="AF851" s="4"/>
      <c r="AG851" s="4"/>
    </row>
    <row r="852" spans="5:33" ht="12.75">
      <c r="E852" s="148"/>
      <c r="F852" s="148"/>
      <c r="G852" s="148"/>
      <c r="H852" s="148"/>
      <c r="AF852" s="4"/>
      <c r="AG852" s="4"/>
    </row>
    <row r="853" spans="5:33" ht="12.75">
      <c r="E853" s="148"/>
      <c r="F853" s="148"/>
      <c r="G853" s="148"/>
      <c r="H853" s="148"/>
      <c r="AF853" s="4"/>
      <c r="AG853" s="4"/>
    </row>
    <row r="854" spans="5:33" ht="12.75">
      <c r="E854" s="148"/>
      <c r="F854" s="148"/>
      <c r="G854" s="148"/>
      <c r="H854" s="148"/>
      <c r="AF854" s="4"/>
      <c r="AG854" s="4"/>
    </row>
    <row r="855" spans="5:33" ht="12.75">
      <c r="E855" s="148"/>
      <c r="F855" s="148"/>
      <c r="G855" s="148"/>
      <c r="H855" s="148"/>
      <c r="AF855" s="4"/>
      <c r="AG855" s="4"/>
    </row>
    <row r="856" spans="5:33" ht="12.75">
      <c r="E856" s="148"/>
      <c r="F856" s="148"/>
      <c r="G856" s="148"/>
      <c r="H856" s="148"/>
      <c r="AF856" s="4"/>
      <c r="AG856" s="4"/>
    </row>
    <row r="857" spans="5:33" ht="12.75">
      <c r="E857" s="148"/>
      <c r="F857" s="148"/>
      <c r="G857" s="148"/>
      <c r="H857" s="148"/>
      <c r="AF857" s="4"/>
      <c r="AG857" s="4"/>
    </row>
    <row r="858" spans="5:33" ht="12.75">
      <c r="E858" s="148"/>
      <c r="F858" s="148"/>
      <c r="G858" s="148"/>
      <c r="H858" s="148"/>
      <c r="AF858" s="4"/>
      <c r="AG858" s="4"/>
    </row>
    <row r="859" spans="5:33" ht="12.75">
      <c r="E859" s="148"/>
      <c r="F859" s="148"/>
      <c r="G859" s="148"/>
      <c r="H859" s="148"/>
      <c r="AF859" s="4"/>
      <c r="AG859" s="4"/>
    </row>
    <row r="860" spans="5:33" ht="12.75">
      <c r="E860" s="148"/>
      <c r="F860" s="148"/>
      <c r="G860" s="148"/>
      <c r="H860" s="148"/>
      <c r="AF860" s="4"/>
      <c r="AG860" s="4"/>
    </row>
    <row r="861" spans="5:33" ht="12.75">
      <c r="E861" s="148"/>
      <c r="F861" s="148"/>
      <c r="G861" s="148"/>
      <c r="H861" s="148"/>
      <c r="AF861" s="4"/>
      <c r="AG861" s="4"/>
    </row>
    <row r="862" spans="5:33" ht="12.75">
      <c r="E862" s="148"/>
      <c r="F862" s="148"/>
      <c r="G862" s="148"/>
      <c r="H862" s="148"/>
      <c r="AF862" s="4"/>
      <c r="AG862" s="4"/>
    </row>
    <row r="863" spans="5:33" ht="12.75">
      <c r="E863" s="148"/>
      <c r="F863" s="148"/>
      <c r="G863" s="148"/>
      <c r="H863" s="148"/>
      <c r="AF863" s="4"/>
      <c r="AG863" s="4"/>
    </row>
    <row r="864" spans="5:33" ht="12.75">
      <c r="E864" s="148"/>
      <c r="F864" s="148"/>
      <c r="G864" s="148"/>
      <c r="H864" s="148"/>
      <c r="AF864" s="4"/>
      <c r="AG864" s="4"/>
    </row>
    <row r="865" spans="5:33" ht="12.75">
      <c r="E865" s="148"/>
      <c r="F865" s="148"/>
      <c r="G865" s="148"/>
      <c r="H865" s="148"/>
      <c r="AF865" s="4"/>
      <c r="AG865" s="4"/>
    </row>
    <row r="866" spans="5:33" ht="12.75">
      <c r="E866" s="148"/>
      <c r="F866" s="148"/>
      <c r="G866" s="148"/>
      <c r="H866" s="148"/>
      <c r="AF866" s="4"/>
      <c r="AG866" s="4"/>
    </row>
    <row r="867" spans="5:33" ht="12.75">
      <c r="E867" s="148"/>
      <c r="F867" s="148"/>
      <c r="G867" s="148"/>
      <c r="H867" s="148"/>
      <c r="AF867" s="4"/>
      <c r="AG867" s="4"/>
    </row>
    <row r="868" spans="5:33" ht="12.75">
      <c r="E868" s="148"/>
      <c r="F868" s="148"/>
      <c r="G868" s="148"/>
      <c r="H868" s="148"/>
      <c r="AF868" s="4"/>
      <c r="AG868" s="4"/>
    </row>
    <row r="869" spans="5:33" ht="12.75">
      <c r="E869" s="148"/>
      <c r="F869" s="148"/>
      <c r="G869" s="148"/>
      <c r="H869" s="148"/>
      <c r="AF869" s="4"/>
      <c r="AG869" s="4"/>
    </row>
    <row r="870" spans="5:33" ht="12.75">
      <c r="E870" s="148"/>
      <c r="F870" s="148"/>
      <c r="G870" s="148"/>
      <c r="H870" s="148"/>
      <c r="AF870" s="4"/>
      <c r="AG870" s="4"/>
    </row>
    <row r="871" spans="5:33" ht="12.75">
      <c r="E871" s="148"/>
      <c r="F871" s="148"/>
      <c r="G871" s="148"/>
      <c r="H871" s="148"/>
      <c r="AF871" s="4"/>
      <c r="AG871" s="4"/>
    </row>
    <row r="872" spans="5:33" ht="12.75">
      <c r="E872" s="148"/>
      <c r="F872" s="148"/>
      <c r="G872" s="148"/>
      <c r="H872" s="148"/>
      <c r="AF872" s="4"/>
      <c r="AG872" s="4"/>
    </row>
    <row r="873" spans="5:33" ht="12.75">
      <c r="E873" s="148"/>
      <c r="F873" s="148"/>
      <c r="G873" s="148"/>
      <c r="H873" s="148"/>
      <c r="AF873" s="4"/>
      <c r="AG873" s="4"/>
    </row>
    <row r="874" spans="5:33" ht="12.75">
      <c r="E874" s="148"/>
      <c r="F874" s="148"/>
      <c r="G874" s="148"/>
      <c r="H874" s="148"/>
      <c r="AF874" s="4"/>
      <c r="AG874" s="4"/>
    </row>
    <row r="875" spans="5:33" ht="12.75">
      <c r="E875" s="148"/>
      <c r="F875" s="148"/>
      <c r="G875" s="148"/>
      <c r="H875" s="148"/>
      <c r="AF875" s="4"/>
      <c r="AG875" s="4"/>
    </row>
    <row r="876" spans="5:33" ht="12.75">
      <c r="E876" s="148"/>
      <c r="F876" s="148"/>
      <c r="G876" s="148"/>
      <c r="H876" s="148"/>
      <c r="AF876" s="4"/>
      <c r="AG876" s="4"/>
    </row>
    <row r="877" spans="5:33" ht="12.75">
      <c r="E877" s="148"/>
      <c r="F877" s="148"/>
      <c r="G877" s="148"/>
      <c r="H877" s="148"/>
      <c r="AF877" s="4"/>
      <c r="AG877" s="4"/>
    </row>
    <row r="878" spans="5:33" ht="12.75">
      <c r="E878" s="148"/>
      <c r="F878" s="148"/>
      <c r="G878" s="148"/>
      <c r="H878" s="148"/>
      <c r="AF878" s="4"/>
      <c r="AG878" s="4"/>
    </row>
    <row r="879" spans="5:33" ht="12.75">
      <c r="E879" s="148"/>
      <c r="F879" s="148"/>
      <c r="G879" s="148"/>
      <c r="H879" s="148"/>
      <c r="AF879" s="4"/>
      <c r="AG879" s="4"/>
    </row>
    <row r="880" spans="5:33" ht="12.75">
      <c r="E880" s="148"/>
      <c r="F880" s="148"/>
      <c r="G880" s="148"/>
      <c r="H880" s="148"/>
      <c r="AF880" s="4"/>
      <c r="AG880" s="4"/>
    </row>
    <row r="881" spans="5:33" ht="12.75">
      <c r="E881" s="148"/>
      <c r="F881" s="148"/>
      <c r="G881" s="148"/>
      <c r="H881" s="148"/>
      <c r="AF881" s="4"/>
      <c r="AG881" s="4"/>
    </row>
    <row r="882" spans="5:33" ht="12.75">
      <c r="E882" s="148"/>
      <c r="F882" s="148"/>
      <c r="G882" s="148"/>
      <c r="H882" s="148"/>
      <c r="AF882" s="4"/>
      <c r="AG882" s="4"/>
    </row>
    <row r="883" spans="5:33" ht="12.75">
      <c r="E883" s="148"/>
      <c r="F883" s="148"/>
      <c r="G883" s="148"/>
      <c r="H883" s="148"/>
      <c r="AF883" s="4"/>
      <c r="AG883" s="4"/>
    </row>
    <row r="884" spans="5:33" ht="12.75">
      <c r="E884" s="148"/>
      <c r="F884" s="148"/>
      <c r="G884" s="148"/>
      <c r="H884" s="148"/>
      <c r="AF884" s="4"/>
      <c r="AG884" s="4"/>
    </row>
    <row r="885" spans="5:33" ht="12.75">
      <c r="E885" s="148"/>
      <c r="F885" s="148"/>
      <c r="G885" s="148"/>
      <c r="H885" s="148"/>
      <c r="AF885" s="4"/>
      <c r="AG885" s="4"/>
    </row>
    <row r="886" spans="5:33" ht="12.75">
      <c r="E886" s="148"/>
      <c r="F886" s="148"/>
      <c r="G886" s="148"/>
      <c r="H886" s="148"/>
      <c r="AF886" s="4"/>
      <c r="AG886" s="4"/>
    </row>
    <row r="887" spans="5:33" ht="12.75">
      <c r="E887" s="148"/>
      <c r="F887" s="148"/>
      <c r="G887" s="148"/>
      <c r="H887" s="148"/>
      <c r="AF887" s="4"/>
      <c r="AG887" s="4"/>
    </row>
    <row r="888" spans="5:33" ht="12.75">
      <c r="E888" s="148"/>
      <c r="F888" s="148"/>
      <c r="G888" s="148"/>
      <c r="H888" s="148"/>
      <c r="AF888" s="4"/>
      <c r="AG888" s="4"/>
    </row>
    <row r="889" spans="5:33" ht="12.75">
      <c r="E889" s="148"/>
      <c r="F889" s="148"/>
      <c r="G889" s="148"/>
      <c r="H889" s="148"/>
      <c r="AF889" s="4"/>
      <c r="AG889" s="4"/>
    </row>
    <row r="890" spans="5:33" ht="12.75">
      <c r="E890" s="148"/>
      <c r="F890" s="148"/>
      <c r="G890" s="148"/>
      <c r="H890" s="148"/>
      <c r="AF890" s="4"/>
      <c r="AG890" s="4"/>
    </row>
    <row r="891" spans="5:33" ht="12.75">
      <c r="E891" s="148"/>
      <c r="F891" s="148"/>
      <c r="G891" s="148"/>
      <c r="H891" s="148"/>
      <c r="AF891" s="4"/>
      <c r="AG891" s="4"/>
    </row>
    <row r="892" spans="5:33" ht="12.75">
      <c r="E892" s="148"/>
      <c r="F892" s="148"/>
      <c r="G892" s="148"/>
      <c r="H892" s="148"/>
      <c r="AF892" s="4"/>
      <c r="AG892" s="4"/>
    </row>
    <row r="893" spans="5:33" ht="12.75">
      <c r="E893" s="148"/>
      <c r="F893" s="148"/>
      <c r="G893" s="148"/>
      <c r="H893" s="148"/>
      <c r="AF893" s="4"/>
      <c r="AG893" s="4"/>
    </row>
    <row r="894" spans="5:33" ht="12.75">
      <c r="E894" s="148"/>
      <c r="F894" s="148"/>
      <c r="G894" s="148"/>
      <c r="H894" s="148"/>
      <c r="AF894" s="4"/>
      <c r="AG894" s="4"/>
    </row>
    <row r="895" spans="5:33" ht="12.75">
      <c r="E895" s="148"/>
      <c r="F895" s="148"/>
      <c r="G895" s="148"/>
      <c r="H895" s="148"/>
      <c r="AF895" s="4"/>
      <c r="AG895" s="4"/>
    </row>
    <row r="896" spans="5:33" ht="12.75">
      <c r="E896" s="148"/>
      <c r="F896" s="148"/>
      <c r="G896" s="148"/>
      <c r="H896" s="148"/>
      <c r="AF896" s="4"/>
      <c r="AG896" s="4"/>
    </row>
    <row r="897" spans="5:33" ht="12.75">
      <c r="E897" s="148"/>
      <c r="F897" s="148"/>
      <c r="G897" s="148"/>
      <c r="H897" s="148"/>
      <c r="AF897" s="4"/>
      <c r="AG897" s="4"/>
    </row>
    <row r="898" spans="5:33" ht="12.75">
      <c r="E898" s="148"/>
      <c r="F898" s="148"/>
      <c r="G898" s="148"/>
      <c r="H898" s="148"/>
      <c r="AF898" s="4"/>
      <c r="AG898" s="4"/>
    </row>
    <row r="899" spans="5:33" ht="12.75">
      <c r="E899" s="148"/>
      <c r="F899" s="148"/>
      <c r="G899" s="148"/>
      <c r="H899" s="148"/>
      <c r="AF899" s="4"/>
      <c r="AG899" s="4"/>
    </row>
    <row r="900" spans="5:33" ht="12.75">
      <c r="E900" s="148"/>
      <c r="F900" s="148"/>
      <c r="G900" s="148"/>
      <c r="H900" s="148"/>
      <c r="AF900" s="4"/>
      <c r="AG900" s="4"/>
    </row>
    <row r="901" spans="5:33" ht="12.75">
      <c r="E901" s="148"/>
      <c r="F901" s="148"/>
      <c r="G901" s="148"/>
      <c r="H901" s="148"/>
      <c r="AF901" s="4"/>
      <c r="AG901" s="4"/>
    </row>
    <row r="902" spans="5:33" ht="12.75">
      <c r="E902" s="148"/>
      <c r="F902" s="148"/>
      <c r="G902" s="148"/>
      <c r="H902" s="148"/>
      <c r="AF902" s="4"/>
      <c r="AG902" s="4"/>
    </row>
    <row r="903" spans="5:33" ht="12.75">
      <c r="E903" s="148"/>
      <c r="F903" s="148"/>
      <c r="G903" s="148"/>
      <c r="H903" s="148"/>
      <c r="AF903" s="4"/>
      <c r="AG903" s="4"/>
    </row>
    <row r="904" spans="5:33" ht="12.75">
      <c r="E904" s="148"/>
      <c r="F904" s="148"/>
      <c r="G904" s="148"/>
      <c r="H904" s="148"/>
      <c r="AF904" s="4"/>
      <c r="AG904" s="4"/>
    </row>
    <row r="905" spans="5:33" ht="12.75">
      <c r="E905" s="148"/>
      <c r="F905" s="148"/>
      <c r="G905" s="148"/>
      <c r="H905" s="148"/>
      <c r="AF905" s="4"/>
      <c r="AG905" s="4"/>
    </row>
    <row r="906" spans="5:33" ht="12.75">
      <c r="E906" s="148"/>
      <c r="F906" s="148"/>
      <c r="G906" s="148"/>
      <c r="H906" s="148"/>
      <c r="AF906" s="4"/>
      <c r="AG906" s="4"/>
    </row>
    <row r="907" spans="5:33" ht="12.75">
      <c r="E907" s="148"/>
      <c r="F907" s="148"/>
      <c r="G907" s="148"/>
      <c r="H907" s="148"/>
      <c r="AF907" s="4"/>
      <c r="AG907" s="4"/>
    </row>
    <row r="908" spans="5:33" ht="12.75">
      <c r="E908" s="148"/>
      <c r="F908" s="148"/>
      <c r="G908" s="148"/>
      <c r="H908" s="148"/>
      <c r="AF908" s="4"/>
      <c r="AG908" s="4"/>
    </row>
    <row r="909" spans="5:33" ht="12.75">
      <c r="E909" s="148"/>
      <c r="F909" s="148"/>
      <c r="G909" s="148"/>
      <c r="H909" s="148"/>
      <c r="AF909" s="4"/>
      <c r="AG909" s="4"/>
    </row>
    <row r="910" spans="5:33" ht="12.75">
      <c r="E910" s="148"/>
      <c r="F910" s="148"/>
      <c r="G910" s="148"/>
      <c r="H910" s="148"/>
      <c r="AF910" s="4"/>
      <c r="AG910" s="4"/>
    </row>
    <row r="911" spans="5:33" ht="12.75">
      <c r="E911" s="148"/>
      <c r="F911" s="148"/>
      <c r="G911" s="148"/>
      <c r="H911" s="148"/>
      <c r="AF911" s="4"/>
      <c r="AG911" s="4"/>
    </row>
    <row r="912" spans="5:33" ht="12.75">
      <c r="E912" s="148"/>
      <c r="F912" s="148"/>
      <c r="G912" s="148"/>
      <c r="H912" s="148"/>
      <c r="AF912" s="4"/>
      <c r="AG912" s="4"/>
    </row>
    <row r="913" spans="5:33" ht="12.75">
      <c r="E913" s="148"/>
      <c r="F913" s="148"/>
      <c r="G913" s="148"/>
      <c r="H913" s="148"/>
      <c r="AF913" s="4"/>
      <c r="AG913" s="4"/>
    </row>
    <row r="914" spans="5:33" ht="12.75">
      <c r="E914" s="148"/>
      <c r="F914" s="148"/>
      <c r="G914" s="148"/>
      <c r="H914" s="148"/>
      <c r="AF914" s="4"/>
      <c r="AG914" s="4"/>
    </row>
    <row r="915" spans="5:33" ht="12.75">
      <c r="E915" s="148"/>
      <c r="F915" s="148"/>
      <c r="G915" s="148"/>
      <c r="H915" s="148"/>
      <c r="AF915" s="4"/>
      <c r="AG915" s="4"/>
    </row>
    <row r="916" spans="5:33" ht="12.75">
      <c r="E916" s="148"/>
      <c r="F916" s="148"/>
      <c r="G916" s="148"/>
      <c r="H916" s="148"/>
      <c r="AF916" s="4"/>
      <c r="AG916" s="4"/>
    </row>
    <row r="917" spans="5:33" ht="12.75">
      <c r="E917" s="148"/>
      <c r="F917" s="148"/>
      <c r="G917" s="148"/>
      <c r="H917" s="148"/>
      <c r="AF917" s="4"/>
      <c r="AG917" s="4"/>
    </row>
    <row r="918" spans="5:33" ht="12.75">
      <c r="E918" s="148"/>
      <c r="F918" s="148"/>
      <c r="G918" s="148"/>
      <c r="H918" s="148"/>
      <c r="AF918" s="4"/>
      <c r="AG918" s="4"/>
    </row>
    <row r="919" spans="5:33" ht="12.75">
      <c r="E919" s="148"/>
      <c r="F919" s="148"/>
      <c r="G919" s="148"/>
      <c r="H919" s="148"/>
      <c r="AF919" s="4"/>
      <c r="AG919" s="4"/>
    </row>
    <row r="920" spans="5:33" ht="12.75">
      <c r="E920" s="148"/>
      <c r="F920" s="148"/>
      <c r="G920" s="148"/>
      <c r="H920" s="148"/>
      <c r="AF920" s="4"/>
      <c r="AG920" s="4"/>
    </row>
    <row r="921" spans="5:33" ht="12.75">
      <c r="E921" s="148"/>
      <c r="F921" s="148"/>
      <c r="G921" s="148"/>
      <c r="H921" s="148"/>
      <c r="AF921" s="4"/>
      <c r="AG921" s="4"/>
    </row>
    <row r="922" spans="5:33" ht="12.75">
      <c r="E922" s="148"/>
      <c r="F922" s="148"/>
      <c r="G922" s="148"/>
      <c r="H922" s="148"/>
      <c r="AF922" s="4"/>
      <c r="AG922" s="4"/>
    </row>
    <row r="923" spans="5:33" ht="12.75">
      <c r="E923" s="148"/>
      <c r="F923" s="148"/>
      <c r="G923" s="148"/>
      <c r="H923" s="148"/>
      <c r="AF923" s="4"/>
      <c r="AG923" s="4"/>
    </row>
    <row r="924" spans="5:33" ht="12.75">
      <c r="E924" s="148"/>
      <c r="F924" s="148"/>
      <c r="G924" s="148"/>
      <c r="H924" s="148"/>
      <c r="AF924" s="4"/>
      <c r="AG924" s="4"/>
    </row>
    <row r="925" spans="5:33" ht="12.75">
      <c r="E925" s="148"/>
      <c r="F925" s="148"/>
      <c r="G925" s="148"/>
      <c r="H925" s="148"/>
      <c r="AF925" s="4"/>
      <c r="AG925" s="4"/>
    </row>
    <row r="926" spans="5:33" ht="12.75">
      <c r="E926" s="148"/>
      <c r="F926" s="148"/>
      <c r="G926" s="148"/>
      <c r="H926" s="148"/>
      <c r="AF926" s="4"/>
      <c r="AG926" s="4"/>
    </row>
    <row r="927" spans="5:33" ht="12.75">
      <c r="E927" s="148"/>
      <c r="F927" s="148"/>
      <c r="G927" s="148"/>
      <c r="H927" s="148"/>
      <c r="AF927" s="4"/>
      <c r="AG927" s="4"/>
    </row>
    <row r="928" spans="5:33" ht="12.75">
      <c r="E928" s="148"/>
      <c r="F928" s="148"/>
      <c r="G928" s="148"/>
      <c r="H928" s="148"/>
      <c r="AF928" s="4"/>
      <c r="AG928" s="4"/>
    </row>
    <row r="929" spans="5:33" ht="12.75">
      <c r="E929" s="148"/>
      <c r="F929" s="148"/>
      <c r="G929" s="148"/>
      <c r="H929" s="148"/>
      <c r="AF929" s="4"/>
      <c r="AG929" s="4"/>
    </row>
    <row r="930" spans="5:33" ht="12.75">
      <c r="E930" s="148"/>
      <c r="F930" s="148"/>
      <c r="G930" s="148"/>
      <c r="H930" s="148"/>
      <c r="AF930" s="4"/>
      <c r="AG930" s="4"/>
    </row>
    <row r="931" spans="5:33" ht="12.75">
      <c r="E931" s="148"/>
      <c r="F931" s="148"/>
      <c r="G931" s="148"/>
      <c r="H931" s="148"/>
      <c r="AF931" s="4"/>
      <c r="AG931" s="4"/>
    </row>
    <row r="932" spans="5:33" ht="12.75">
      <c r="E932" s="148"/>
      <c r="F932" s="148"/>
      <c r="G932" s="148"/>
      <c r="H932" s="148"/>
      <c r="AF932" s="4"/>
      <c r="AG932" s="4"/>
    </row>
    <row r="933" spans="5:33" ht="12.75">
      <c r="E933" s="148"/>
      <c r="F933" s="148"/>
      <c r="G933" s="148"/>
      <c r="H933" s="148"/>
      <c r="AF933" s="4"/>
      <c r="AG933" s="4"/>
    </row>
    <row r="934" spans="5:33" ht="12.75">
      <c r="E934" s="148"/>
      <c r="F934" s="148"/>
      <c r="G934" s="148"/>
      <c r="H934" s="148"/>
      <c r="AF934" s="4"/>
      <c r="AG934" s="4"/>
    </row>
    <row r="935" spans="5:33" ht="12.75">
      <c r="E935" s="148"/>
      <c r="F935" s="148"/>
      <c r="G935" s="148"/>
      <c r="H935" s="148"/>
      <c r="AF935" s="4"/>
      <c r="AG935" s="4"/>
    </row>
    <row r="936" spans="5:33" ht="12.75">
      <c r="E936" s="148"/>
      <c r="F936" s="148"/>
      <c r="G936" s="148"/>
      <c r="H936" s="148"/>
      <c r="AF936" s="4"/>
      <c r="AG936" s="4"/>
    </row>
    <row r="937" spans="5:33" ht="12.75">
      <c r="E937" s="148"/>
      <c r="F937" s="148"/>
      <c r="G937" s="148"/>
      <c r="H937" s="148"/>
      <c r="AF937" s="4"/>
      <c r="AG937" s="4"/>
    </row>
    <row r="938" spans="5:33" ht="12.75">
      <c r="E938" s="148"/>
      <c r="F938" s="148"/>
      <c r="G938" s="148"/>
      <c r="H938" s="148"/>
      <c r="AF938" s="4"/>
      <c r="AG938" s="4"/>
    </row>
    <row r="939" spans="5:33" ht="12.75">
      <c r="E939" s="148"/>
      <c r="F939" s="148"/>
      <c r="G939" s="148"/>
      <c r="H939" s="148"/>
      <c r="AF939" s="4"/>
      <c r="AG939" s="4"/>
    </row>
    <row r="940" spans="5:33" ht="12.75">
      <c r="E940" s="148"/>
      <c r="F940" s="148"/>
      <c r="G940" s="148"/>
      <c r="H940" s="148"/>
      <c r="AF940" s="4"/>
      <c r="AG940" s="4"/>
    </row>
    <row r="941" spans="5:33" ht="12.75">
      <c r="E941" s="148"/>
      <c r="F941" s="148"/>
      <c r="G941" s="148"/>
      <c r="H941" s="148"/>
      <c r="AF941" s="4"/>
      <c r="AG941" s="4"/>
    </row>
    <row r="942" spans="5:33" ht="12.75">
      <c r="E942" s="148"/>
      <c r="F942" s="148"/>
      <c r="G942" s="148"/>
      <c r="H942" s="148"/>
      <c r="AF942" s="4"/>
      <c r="AG942" s="4"/>
    </row>
    <row r="943" spans="5:33" ht="12.75">
      <c r="E943" s="148"/>
      <c r="F943" s="148"/>
      <c r="G943" s="148"/>
      <c r="H943" s="148"/>
      <c r="AF943" s="4"/>
      <c r="AG943" s="4"/>
    </row>
    <row r="944" spans="5:33" ht="12.75">
      <c r="E944" s="148"/>
      <c r="F944" s="148"/>
      <c r="G944" s="148"/>
      <c r="H944" s="148"/>
      <c r="AF944" s="4"/>
      <c r="AG944" s="4"/>
    </row>
    <row r="945" spans="5:33" ht="12.75">
      <c r="E945" s="148"/>
      <c r="F945" s="148"/>
      <c r="G945" s="148"/>
      <c r="H945" s="148"/>
      <c r="AF945" s="4"/>
      <c r="AG945" s="4"/>
    </row>
    <row r="946" spans="5:33" ht="12.75">
      <c r="E946" s="148"/>
      <c r="F946" s="148"/>
      <c r="G946" s="148"/>
      <c r="H946" s="148"/>
      <c r="AF946" s="4"/>
      <c r="AG946" s="4"/>
    </row>
    <row r="947" spans="5:33" ht="12.75">
      <c r="E947" s="148"/>
      <c r="F947" s="148"/>
      <c r="G947" s="148"/>
      <c r="H947" s="148"/>
      <c r="AF947" s="4"/>
      <c r="AG947" s="4"/>
    </row>
    <row r="948" spans="5:33" ht="12.75">
      <c r="E948" s="148"/>
      <c r="F948" s="148"/>
      <c r="G948" s="148"/>
      <c r="H948" s="148"/>
      <c r="AF948" s="4"/>
      <c r="AG948" s="4"/>
    </row>
    <row r="949" spans="5:33" ht="12.75">
      <c r="E949" s="148"/>
      <c r="F949" s="148"/>
      <c r="G949" s="148"/>
      <c r="H949" s="148"/>
      <c r="AF949" s="4"/>
      <c r="AG949" s="4"/>
    </row>
    <row r="950" spans="5:33" ht="12.75">
      <c r="E950" s="148"/>
      <c r="F950" s="148"/>
      <c r="G950" s="148"/>
      <c r="H950" s="148"/>
      <c r="AF950" s="4"/>
      <c r="AG950" s="4"/>
    </row>
    <row r="951" spans="5:33" ht="12.75">
      <c r="E951" s="148"/>
      <c r="F951" s="148"/>
      <c r="G951" s="148"/>
      <c r="H951" s="148"/>
      <c r="AF951" s="4"/>
      <c r="AG951" s="4"/>
    </row>
    <row r="952" spans="5:33" ht="12.75">
      <c r="E952" s="148"/>
      <c r="F952" s="148"/>
      <c r="G952" s="148"/>
      <c r="H952" s="148"/>
      <c r="AF952" s="4"/>
      <c r="AG952" s="4"/>
    </row>
    <row r="953" spans="5:33" ht="12.75">
      <c r="E953" s="148"/>
      <c r="F953" s="148"/>
      <c r="G953" s="148"/>
      <c r="H953" s="148"/>
      <c r="AF953" s="4"/>
      <c r="AG953" s="4"/>
    </row>
    <row r="954" spans="5:33" ht="12.75">
      <c r="E954" s="148"/>
      <c r="F954" s="148"/>
      <c r="G954" s="148"/>
      <c r="H954" s="148"/>
      <c r="AF954" s="4"/>
      <c r="AG954" s="4"/>
    </row>
    <row r="955" spans="5:33" ht="12.75">
      <c r="E955" s="148"/>
      <c r="F955" s="148"/>
      <c r="G955" s="148"/>
      <c r="H955" s="148"/>
      <c r="AF955" s="4"/>
      <c r="AG955" s="4"/>
    </row>
    <row r="956" spans="5:33" ht="12.75">
      <c r="E956" s="148"/>
      <c r="F956" s="148"/>
      <c r="G956" s="148"/>
      <c r="H956" s="148"/>
      <c r="AF956" s="4"/>
      <c r="AG956" s="4"/>
    </row>
    <row r="957" spans="5:33" ht="12.75">
      <c r="E957" s="148"/>
      <c r="F957" s="148"/>
      <c r="G957" s="148"/>
      <c r="H957" s="148"/>
      <c r="AF957" s="4"/>
      <c r="AG957" s="4"/>
    </row>
    <row r="958" spans="5:33" ht="12.75">
      <c r="E958" s="148"/>
      <c r="F958" s="148"/>
      <c r="G958" s="148"/>
      <c r="H958" s="148"/>
      <c r="AF958" s="4"/>
      <c r="AG958" s="4"/>
    </row>
    <row r="959" spans="5:33" ht="12.75">
      <c r="E959" s="148"/>
      <c r="F959" s="148"/>
      <c r="G959" s="148"/>
      <c r="H959" s="148"/>
      <c r="AF959" s="4"/>
      <c r="AG959" s="4"/>
    </row>
    <row r="960" spans="5:33" ht="12.75">
      <c r="E960" s="148"/>
      <c r="F960" s="148"/>
      <c r="G960" s="148"/>
      <c r="H960" s="148"/>
      <c r="AF960" s="4"/>
      <c r="AG960" s="4"/>
    </row>
    <row r="961" spans="5:33" ht="12.75">
      <c r="E961" s="148"/>
      <c r="F961" s="148"/>
      <c r="G961" s="148"/>
      <c r="H961" s="148"/>
      <c r="AF961" s="4"/>
      <c r="AG961" s="4"/>
    </row>
    <row r="962" spans="5:33" ht="12.75">
      <c r="E962" s="148"/>
      <c r="F962" s="148"/>
      <c r="G962" s="148"/>
      <c r="H962" s="148"/>
      <c r="AF962" s="4"/>
      <c r="AG962" s="4"/>
    </row>
    <row r="963" spans="5:33" ht="12.75">
      <c r="E963" s="148"/>
      <c r="F963" s="148"/>
      <c r="G963" s="148"/>
      <c r="H963" s="148"/>
      <c r="AF963" s="4"/>
      <c r="AG963" s="4"/>
    </row>
    <row r="964" spans="5:33" ht="12.75">
      <c r="E964" s="148"/>
      <c r="F964" s="148"/>
      <c r="G964" s="148"/>
      <c r="H964" s="148"/>
      <c r="AF964" s="4"/>
      <c r="AG964" s="4"/>
    </row>
    <row r="965" spans="5:33" ht="12.75">
      <c r="E965" s="148"/>
      <c r="F965" s="148"/>
      <c r="G965" s="148"/>
      <c r="H965" s="148"/>
      <c r="AF965" s="4"/>
      <c r="AG965" s="4"/>
    </row>
    <row r="966" spans="5:33" ht="12.75">
      <c r="E966" s="148"/>
      <c r="F966" s="148"/>
      <c r="G966" s="148"/>
      <c r="H966" s="148"/>
      <c r="AF966" s="4"/>
      <c r="AG966" s="4"/>
    </row>
    <row r="967" spans="5:33" ht="12.75">
      <c r="E967" s="148"/>
      <c r="F967" s="148"/>
      <c r="G967" s="148"/>
      <c r="H967" s="148"/>
      <c r="AF967" s="4"/>
      <c r="AG967" s="4"/>
    </row>
    <row r="968" spans="5:33" ht="12.75">
      <c r="E968" s="148"/>
      <c r="F968" s="148"/>
      <c r="G968" s="148"/>
      <c r="H968" s="148"/>
      <c r="AF968" s="4"/>
      <c r="AG968" s="4"/>
    </row>
    <row r="969" spans="5:33" ht="12.75">
      <c r="E969" s="148"/>
      <c r="F969" s="148"/>
      <c r="G969" s="148"/>
      <c r="H969" s="148"/>
      <c r="AF969" s="4"/>
      <c r="AG969" s="4"/>
    </row>
    <row r="970" spans="5:33" ht="12.75">
      <c r="E970" s="148"/>
      <c r="F970" s="148"/>
      <c r="G970" s="148"/>
      <c r="H970" s="148"/>
      <c r="AF970" s="4"/>
      <c r="AG970" s="4"/>
    </row>
    <row r="971" spans="5:33" ht="12.75">
      <c r="E971" s="148"/>
      <c r="F971" s="148"/>
      <c r="G971" s="148"/>
      <c r="H971" s="148"/>
      <c r="AF971" s="4"/>
      <c r="AG971" s="4"/>
    </row>
    <row r="972" spans="5:33" ht="12.75">
      <c r="E972" s="148"/>
      <c r="F972" s="148"/>
      <c r="G972" s="148"/>
      <c r="H972" s="148"/>
      <c r="AF972" s="4"/>
      <c r="AG972" s="4"/>
    </row>
    <row r="973" spans="5:33" ht="12.75">
      <c r="E973" s="148"/>
      <c r="F973" s="148"/>
      <c r="G973" s="148"/>
      <c r="H973" s="148"/>
      <c r="AF973" s="4"/>
      <c r="AG973" s="4"/>
    </row>
    <row r="974" spans="5:33" ht="12.75">
      <c r="E974" s="148"/>
      <c r="F974" s="148"/>
      <c r="G974" s="148"/>
      <c r="H974" s="148"/>
      <c r="AF974" s="4"/>
      <c r="AG974" s="4"/>
    </row>
    <row r="975" spans="5:33" ht="12.75">
      <c r="E975" s="148"/>
      <c r="F975" s="148"/>
      <c r="G975" s="148"/>
      <c r="H975" s="148"/>
      <c r="AF975" s="4"/>
      <c r="AG975" s="4"/>
    </row>
    <row r="976" spans="5:33" ht="12.75">
      <c r="E976" s="148"/>
      <c r="F976" s="148"/>
      <c r="G976" s="148"/>
      <c r="H976" s="148"/>
      <c r="AF976" s="4"/>
      <c r="AG976" s="4"/>
    </row>
    <row r="977" spans="5:33" ht="12.75">
      <c r="E977" s="148"/>
      <c r="F977" s="148"/>
      <c r="G977" s="148"/>
      <c r="H977" s="148"/>
      <c r="AF977" s="4"/>
      <c r="AG977" s="4"/>
    </row>
    <row r="978" spans="5:33" ht="12.75">
      <c r="E978" s="148"/>
      <c r="F978" s="148"/>
      <c r="G978" s="148"/>
      <c r="H978" s="148"/>
      <c r="AF978" s="4"/>
      <c r="AG978" s="4"/>
    </row>
    <row r="979" spans="5:33" ht="12.75">
      <c r="E979" s="148"/>
      <c r="F979" s="148"/>
      <c r="G979" s="148"/>
      <c r="H979" s="148"/>
      <c r="AF979" s="4"/>
      <c r="AG979" s="4"/>
    </row>
    <row r="980" spans="5:33" ht="12.75">
      <c r="E980" s="148"/>
      <c r="F980" s="148"/>
      <c r="G980" s="148"/>
      <c r="H980" s="148"/>
      <c r="AF980" s="4"/>
      <c r="AG980" s="4"/>
    </row>
    <row r="981" spans="5:33" ht="12.75">
      <c r="E981" s="148"/>
      <c r="F981" s="148"/>
      <c r="G981" s="148"/>
      <c r="H981" s="148"/>
      <c r="AF981" s="4"/>
      <c r="AG981" s="4"/>
    </row>
    <row r="982" spans="5:33" ht="12.75">
      <c r="E982" s="148"/>
      <c r="F982" s="148"/>
      <c r="G982" s="148"/>
      <c r="H982" s="148"/>
      <c r="AF982" s="4"/>
      <c r="AG982" s="4"/>
    </row>
    <row r="983" spans="5:33" ht="12.75">
      <c r="E983" s="148"/>
      <c r="F983" s="148"/>
      <c r="G983" s="148"/>
      <c r="H983" s="148"/>
      <c r="AF983" s="4"/>
      <c r="AG983" s="4"/>
    </row>
    <row r="984" spans="5:33" ht="12.75">
      <c r="E984" s="148"/>
      <c r="F984" s="148"/>
      <c r="G984" s="148"/>
      <c r="H984" s="148"/>
      <c r="AF984" s="4"/>
      <c r="AG984" s="4"/>
    </row>
    <row r="985" spans="5:33" ht="12.75">
      <c r="E985" s="148"/>
      <c r="F985" s="148"/>
      <c r="G985" s="148"/>
      <c r="H985" s="148"/>
      <c r="AF985" s="4"/>
      <c r="AG985" s="4"/>
    </row>
    <row r="986" spans="5:33" ht="12.75">
      <c r="E986" s="148"/>
      <c r="F986" s="148"/>
      <c r="G986" s="148"/>
      <c r="H986" s="148"/>
      <c r="AF986" s="4"/>
      <c r="AG986" s="4"/>
    </row>
    <row r="987" spans="5:33" ht="12.75">
      <c r="E987" s="148"/>
      <c r="F987" s="148"/>
      <c r="G987" s="148"/>
      <c r="H987" s="148"/>
      <c r="AF987" s="4"/>
      <c r="AG987" s="4"/>
    </row>
    <row r="988" spans="5:33" ht="12.75">
      <c r="E988" s="148"/>
      <c r="F988" s="148"/>
      <c r="G988" s="148"/>
      <c r="H988" s="148"/>
      <c r="AF988" s="4"/>
      <c r="AG988" s="4"/>
    </row>
    <row r="989" spans="5:33" ht="12.75">
      <c r="E989" s="148"/>
      <c r="F989" s="148"/>
      <c r="G989" s="148"/>
      <c r="H989" s="148"/>
      <c r="AF989" s="4"/>
      <c r="AG989" s="4"/>
    </row>
    <row r="990" spans="5:33" ht="12.75">
      <c r="E990" s="148"/>
      <c r="F990" s="148"/>
      <c r="G990" s="148"/>
      <c r="H990" s="148"/>
      <c r="AF990" s="4"/>
      <c r="AG990" s="4"/>
    </row>
    <row r="991" spans="5:33" ht="12.75">
      <c r="E991" s="148"/>
      <c r="F991" s="148"/>
      <c r="G991" s="148"/>
      <c r="H991" s="148"/>
      <c r="AF991" s="4"/>
      <c r="AG991" s="4"/>
    </row>
    <row r="992" spans="5:33" ht="12.75">
      <c r="E992" s="148"/>
      <c r="F992" s="148"/>
      <c r="G992" s="148"/>
      <c r="H992" s="148"/>
      <c r="AF992" s="4"/>
      <c r="AG992" s="4"/>
    </row>
    <row r="993" spans="5:33" ht="12.75">
      <c r="E993" s="148"/>
      <c r="F993" s="148"/>
      <c r="G993" s="148"/>
      <c r="H993" s="148"/>
      <c r="AF993" s="4"/>
      <c r="AG993" s="4"/>
    </row>
  </sheetData>
  <mergeCells count="27">
    <mergeCell ref="K47:L47"/>
    <mergeCell ref="K13:L13"/>
    <mergeCell ref="K14:L14"/>
    <mergeCell ref="J18:L18"/>
    <mergeCell ref="K19:K21"/>
    <mergeCell ref="K22:K24"/>
    <mergeCell ref="K26:L26"/>
    <mergeCell ref="J29:L29"/>
    <mergeCell ref="J19:J25"/>
    <mergeCell ref="J30:J36"/>
    <mergeCell ref="J40:J46"/>
    <mergeCell ref="K30:K32"/>
    <mergeCell ref="K33:K35"/>
    <mergeCell ref="K37:L37"/>
    <mergeCell ref="J39:L39"/>
    <mergeCell ref="K40:K42"/>
    <mergeCell ref="K43:K45"/>
    <mergeCell ref="K6:K8"/>
    <mergeCell ref="K9:K11"/>
    <mergeCell ref="A5:B5"/>
    <mergeCell ref="J5:L5"/>
    <mergeCell ref="A6:A8"/>
    <mergeCell ref="D6:D8"/>
    <mergeCell ref="J6:J15"/>
    <mergeCell ref="A9:A11"/>
    <mergeCell ref="D9:D11"/>
    <mergeCell ref="K15:L15"/>
  </mergeCells>
  <phoneticPr fontId="86" type="noConversion"/>
  <conditionalFormatting sqref="M30:AH36 Y40:AH46 B34:C36 D36 M46:X46">
    <cfRule type="cellIs" dxfId="26" priority="2" operator="lessThan">
      <formula>0</formula>
    </cfRule>
  </conditionalFormatting>
  <conditionalFormatting sqref="M40:AH46">
    <cfRule type="colorScale" priority="3">
      <colorScale>
        <cfvo type="formula" val="0"/>
        <cfvo type="formula" val="3"/>
        <cfvo type="formula" val="10"/>
        <color rgb="FF9FC5E8"/>
        <color rgb="FFFFFFFF"/>
        <color rgb="FFE67C73"/>
      </colorScale>
    </cfRule>
  </conditionalFormatting>
  <conditionalFormatting sqref="N30:AH35 Y40:AC46 AE40:AH46">
    <cfRule type="cellIs" dxfId="25" priority="1" operator="lessThanOrEqual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8AC6"/>
    <outlinePr summaryBelow="0" summaryRight="0"/>
  </sheetPr>
  <dimension ref="A1:AF993"/>
  <sheetViews>
    <sheetView tabSelected="1" topLeftCell="D1" workbookViewId="0">
      <selection activeCell="O18" sqref="O18"/>
    </sheetView>
  </sheetViews>
  <sheetFormatPr defaultColWidth="14.42578125" defaultRowHeight="15.75" customHeight="1" outlineLevelRow="1"/>
  <cols>
    <col min="9" max="9" width="15.42578125" customWidth="1"/>
  </cols>
  <sheetData>
    <row r="1" spans="1:32">
      <c r="A1" s="1"/>
      <c r="B1" s="1"/>
      <c r="C1" s="1"/>
      <c r="D1" s="1"/>
      <c r="E1" s="2"/>
      <c r="F1" s="2"/>
      <c r="G1" s="2"/>
      <c r="H1" s="2"/>
      <c r="I1" s="1"/>
      <c r="J1" s="3"/>
      <c r="K1" s="3"/>
      <c r="AE1" s="4"/>
      <c r="AF1" s="4"/>
    </row>
    <row r="2" spans="1:32" ht="15.75" customHeight="1">
      <c r="A2" s="1"/>
      <c r="B2" s="1"/>
      <c r="C2" s="1"/>
      <c r="D2" s="1"/>
      <c r="E2" s="2"/>
      <c r="F2" s="2"/>
      <c r="G2" s="2"/>
      <c r="H2" s="2"/>
      <c r="I2" s="5" t="s">
        <v>0</v>
      </c>
      <c r="J2" s="3"/>
      <c r="K2" s="3"/>
      <c r="AE2" s="4"/>
      <c r="AF2" s="4"/>
    </row>
    <row r="3" spans="1:32">
      <c r="A3" s="1"/>
      <c r="B3" s="1"/>
      <c r="C3" s="1"/>
      <c r="D3" s="1"/>
      <c r="E3" s="2"/>
      <c r="F3" s="2"/>
      <c r="G3" s="2"/>
      <c r="H3" s="2"/>
      <c r="I3" s="6"/>
      <c r="J3" s="3"/>
      <c r="K3" s="3"/>
      <c r="AE3" s="4"/>
      <c r="AF3" s="4"/>
    </row>
    <row r="4" spans="1:32">
      <c r="A4" s="1"/>
      <c r="B4" s="1"/>
      <c r="C4" s="1"/>
      <c r="D4" s="1"/>
      <c r="E4" s="2" t="s">
        <v>4</v>
      </c>
      <c r="F4" s="2"/>
      <c r="G4" s="2"/>
      <c r="H4" s="2"/>
      <c r="I4" s="6">
        <v>1700</v>
      </c>
      <c r="J4" s="3"/>
      <c r="K4" s="3"/>
      <c r="P4" s="7">
        <v>2026</v>
      </c>
      <c r="U4" s="8"/>
      <c r="AA4" s="7"/>
      <c r="AE4" s="4"/>
      <c r="AF4" s="4"/>
    </row>
    <row r="5" spans="1:32">
      <c r="A5" s="859" t="s">
        <v>6</v>
      </c>
      <c r="B5" s="860"/>
      <c r="C5" s="10" t="s">
        <v>7</v>
      </c>
      <c r="D5" s="11" t="s">
        <v>8</v>
      </c>
      <c r="E5" s="12" t="s">
        <v>9</v>
      </c>
      <c r="F5" s="12" t="s">
        <v>10</v>
      </c>
      <c r="G5" s="13" t="s">
        <v>11</v>
      </c>
      <c r="H5" s="13" t="s">
        <v>12</v>
      </c>
      <c r="I5" s="861" t="s">
        <v>13</v>
      </c>
      <c r="J5" s="862"/>
      <c r="K5" s="863"/>
      <c r="L5" s="14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6" t="s">
        <v>24</v>
      </c>
      <c r="W5" s="15" t="s">
        <v>25</v>
      </c>
      <c r="X5" s="15" t="s">
        <v>26</v>
      </c>
      <c r="Y5" s="15" t="s">
        <v>15</v>
      </c>
      <c r="Z5" s="15" t="s">
        <v>16</v>
      </c>
      <c r="AA5" s="15" t="s">
        <v>17</v>
      </c>
      <c r="AB5" s="16" t="s">
        <v>18</v>
      </c>
      <c r="AC5" s="18" t="s">
        <v>19</v>
      </c>
      <c r="AD5" s="18" t="s">
        <v>20</v>
      </c>
      <c r="AE5" s="18" t="s">
        <v>21</v>
      </c>
      <c r="AF5" s="18" t="s">
        <v>22</v>
      </c>
    </row>
    <row r="6" spans="1:32">
      <c r="A6" s="864" t="s">
        <v>27</v>
      </c>
      <c r="B6" s="20">
        <v>1</v>
      </c>
      <c r="C6" s="21">
        <v>18</v>
      </c>
      <c r="D6" s="867">
        <f>SUM(C6:C8)</f>
        <v>22</v>
      </c>
      <c r="E6" s="22">
        <f>D6/22</f>
        <v>1</v>
      </c>
      <c r="F6" s="23">
        <f t="shared" ref="F6:F11" si="0">AVERAGE(S19:U19)/4</f>
        <v>1901</v>
      </c>
      <c r="G6" s="22">
        <v>1500</v>
      </c>
      <c r="H6" s="22">
        <f t="shared" ref="H6:H11" si="1">AB6/4</f>
        <v>2592</v>
      </c>
      <c r="I6" s="868" t="s">
        <v>28</v>
      </c>
      <c r="J6" s="883" t="s">
        <v>27</v>
      </c>
      <c r="K6" s="26">
        <v>1</v>
      </c>
      <c r="L6" s="28">
        <v>12308</v>
      </c>
      <c r="M6" s="29"/>
      <c r="N6" s="29">
        <v>6072</v>
      </c>
      <c r="O6" s="29">
        <v>7488</v>
      </c>
      <c r="P6" s="29">
        <v>11520</v>
      </c>
      <c r="Q6" s="29"/>
      <c r="R6" s="29">
        <v>11948</v>
      </c>
      <c r="S6" s="29"/>
      <c r="T6" s="29">
        <v>44008</v>
      </c>
      <c r="U6" s="29">
        <v>11572</v>
      </c>
      <c r="V6" s="30">
        <f>13320</f>
        <v>13320</v>
      </c>
      <c r="W6" s="29"/>
      <c r="X6" s="29"/>
      <c r="Y6" s="29"/>
      <c r="Z6" s="29">
        <v>12672</v>
      </c>
      <c r="AA6" s="29"/>
      <c r="AB6" s="30">
        <f t="shared" ref="AB6:AB8" si="2">144*4*C6</f>
        <v>10368</v>
      </c>
      <c r="AC6" s="34">
        <v>6336</v>
      </c>
      <c r="AD6" s="36"/>
      <c r="AE6" s="37"/>
      <c r="AF6" s="37"/>
    </row>
    <row r="7" spans="1:32">
      <c r="A7" s="865"/>
      <c r="B7" s="20">
        <v>2</v>
      </c>
      <c r="C7" s="21">
        <v>4</v>
      </c>
      <c r="D7" s="865"/>
      <c r="E7" s="22"/>
      <c r="F7" s="23">
        <f t="shared" si="0"/>
        <v>718.58333333333337</v>
      </c>
      <c r="G7" s="22">
        <v>1500</v>
      </c>
      <c r="H7" s="22">
        <f t="shared" si="1"/>
        <v>576</v>
      </c>
      <c r="I7" s="869"/>
      <c r="J7" s="884"/>
      <c r="K7" s="26">
        <v>2</v>
      </c>
      <c r="L7" s="28">
        <v>5948</v>
      </c>
      <c r="M7" s="29">
        <v>6336</v>
      </c>
      <c r="N7" s="29">
        <v>432</v>
      </c>
      <c r="O7" s="29">
        <v>6252</v>
      </c>
      <c r="P7" s="29">
        <v>1152</v>
      </c>
      <c r="Q7" s="29"/>
      <c r="R7" s="38">
        <v>7080</v>
      </c>
      <c r="S7" s="39">
        <v>6336</v>
      </c>
      <c r="T7" s="39">
        <v>8064</v>
      </c>
      <c r="U7" s="39"/>
      <c r="V7" s="40">
        <v>17088</v>
      </c>
      <c r="W7" s="39">
        <v>6772</v>
      </c>
      <c r="X7" s="29"/>
      <c r="Y7" s="29"/>
      <c r="Z7" s="39"/>
      <c r="AA7" s="39"/>
      <c r="AB7" s="30">
        <f t="shared" si="2"/>
        <v>2304</v>
      </c>
      <c r="AC7" s="36"/>
      <c r="AD7" s="36"/>
      <c r="AE7" s="37"/>
      <c r="AF7" s="37"/>
    </row>
    <row r="8" spans="1:32">
      <c r="A8" s="866"/>
      <c r="B8" s="20">
        <v>3</v>
      </c>
      <c r="C8" s="21">
        <v>0</v>
      </c>
      <c r="D8" s="866"/>
      <c r="E8" s="22"/>
      <c r="F8" s="23">
        <f t="shared" si="0"/>
        <v>340</v>
      </c>
      <c r="G8" s="22">
        <v>1500</v>
      </c>
      <c r="H8" s="22">
        <f t="shared" si="1"/>
        <v>0</v>
      </c>
      <c r="I8" s="869"/>
      <c r="J8" s="885"/>
      <c r="K8" s="47">
        <v>3</v>
      </c>
      <c r="L8" s="28"/>
      <c r="M8" s="29">
        <v>6212</v>
      </c>
      <c r="N8" s="29"/>
      <c r="O8" s="29"/>
      <c r="P8" s="29"/>
      <c r="Q8" s="29"/>
      <c r="R8" s="29"/>
      <c r="S8" s="29"/>
      <c r="T8" s="29">
        <v>6912</v>
      </c>
      <c r="U8" s="29"/>
      <c r="V8" s="30">
        <v>332</v>
      </c>
      <c r="W8" s="29">
        <v>5760</v>
      </c>
      <c r="X8" s="29"/>
      <c r="Y8" s="29"/>
      <c r="Z8" s="29"/>
      <c r="AA8" s="29"/>
      <c r="AB8" s="30">
        <f t="shared" si="2"/>
        <v>0</v>
      </c>
      <c r="AC8" s="36"/>
      <c r="AD8" s="36"/>
      <c r="AE8" s="37"/>
      <c r="AF8" s="37"/>
    </row>
    <row r="9" spans="1:32">
      <c r="A9" s="871" t="s">
        <v>32</v>
      </c>
      <c r="B9" s="50">
        <v>1</v>
      </c>
      <c r="C9" s="51">
        <v>112</v>
      </c>
      <c r="D9" s="872">
        <f>SUM(C9:C11)</f>
        <v>192</v>
      </c>
      <c r="E9" s="22">
        <f>D9/24</f>
        <v>8</v>
      </c>
      <c r="F9" s="23">
        <f t="shared" si="0"/>
        <v>6009.5</v>
      </c>
      <c r="G9" s="22">
        <v>2120</v>
      </c>
      <c r="H9" s="22">
        <f t="shared" si="1"/>
        <v>10752</v>
      </c>
      <c r="I9" s="869"/>
      <c r="J9" s="886" t="s">
        <v>32</v>
      </c>
      <c r="K9" s="53">
        <v>1</v>
      </c>
      <c r="L9" s="28">
        <v>9216</v>
      </c>
      <c r="M9" s="29">
        <v>16512</v>
      </c>
      <c r="N9" s="29">
        <v>24300</v>
      </c>
      <c r="O9" s="29"/>
      <c r="P9" s="29">
        <v>60572</v>
      </c>
      <c r="Q9" s="29">
        <v>21560</v>
      </c>
      <c r="R9" s="29">
        <v>23808</v>
      </c>
      <c r="S9" s="29"/>
      <c r="T9" s="29">
        <v>39428</v>
      </c>
      <c r="U9" s="29">
        <v>20880</v>
      </c>
      <c r="V9" s="30">
        <v>14968</v>
      </c>
      <c r="W9" s="55">
        <f>31192+19200</f>
        <v>50392</v>
      </c>
      <c r="X9" s="55">
        <v>38400</v>
      </c>
      <c r="Y9" s="29">
        <f>39552-19200</f>
        <v>20352</v>
      </c>
      <c r="Z9" s="29">
        <f>48000*2-38400</f>
        <v>57600</v>
      </c>
      <c r="AA9" s="29">
        <v>28416</v>
      </c>
      <c r="AB9" s="30">
        <f t="shared" ref="AB9:AB11" si="3">96*4*C9</f>
        <v>43008</v>
      </c>
      <c r="AC9" s="36"/>
      <c r="AD9" s="36"/>
      <c r="AE9" s="37"/>
      <c r="AF9" s="37"/>
    </row>
    <row r="10" spans="1:32">
      <c r="A10" s="865"/>
      <c r="B10" s="50">
        <v>2</v>
      </c>
      <c r="C10" s="51">
        <v>61</v>
      </c>
      <c r="D10" s="865"/>
      <c r="E10" s="22"/>
      <c r="F10" s="23">
        <f t="shared" si="0"/>
        <v>3391.3333333333335</v>
      </c>
      <c r="G10" s="22">
        <v>2280</v>
      </c>
      <c r="H10" s="22">
        <f t="shared" si="1"/>
        <v>5856</v>
      </c>
      <c r="I10" s="869"/>
      <c r="J10" s="884"/>
      <c r="K10" s="53">
        <v>2</v>
      </c>
      <c r="L10" s="28"/>
      <c r="M10" s="29"/>
      <c r="N10" s="29">
        <v>12432</v>
      </c>
      <c r="O10" s="29"/>
      <c r="P10" s="29">
        <v>30336</v>
      </c>
      <c r="Q10" s="29">
        <v>21584</v>
      </c>
      <c r="R10" s="29"/>
      <c r="S10" s="39">
        <v>6528</v>
      </c>
      <c r="T10" s="39"/>
      <c r="U10" s="39"/>
      <c r="V10" s="40">
        <f>27648</f>
        <v>27648</v>
      </c>
      <c r="W10" s="55">
        <f>21288+7680</f>
        <v>28968</v>
      </c>
      <c r="X10" s="55">
        <v>21120</v>
      </c>
      <c r="Y10" s="55">
        <f>19200-7680</f>
        <v>11520</v>
      </c>
      <c r="Z10" s="55">
        <f>24896*2-21120</f>
        <v>28672</v>
      </c>
      <c r="AA10" s="39">
        <v>11136</v>
      </c>
      <c r="AB10" s="30">
        <f t="shared" si="3"/>
        <v>23424</v>
      </c>
      <c r="AC10" s="36"/>
      <c r="AD10" s="36"/>
      <c r="AE10" s="37"/>
      <c r="AF10" s="37"/>
    </row>
    <row r="11" spans="1:32">
      <c r="A11" s="866"/>
      <c r="B11" s="50">
        <v>3</v>
      </c>
      <c r="C11" s="51">
        <v>19</v>
      </c>
      <c r="D11" s="866"/>
      <c r="E11" s="22"/>
      <c r="F11" s="23">
        <f t="shared" si="0"/>
        <v>648.91666666666663</v>
      </c>
      <c r="G11" s="22">
        <v>1880</v>
      </c>
      <c r="H11" s="22">
        <f t="shared" si="1"/>
        <v>1824</v>
      </c>
      <c r="I11" s="869"/>
      <c r="J11" s="885"/>
      <c r="K11" s="57">
        <v>3</v>
      </c>
      <c r="L11" s="28"/>
      <c r="M11" s="29"/>
      <c r="N11" s="29">
        <v>8832</v>
      </c>
      <c r="O11" s="29"/>
      <c r="P11" s="29">
        <v>232</v>
      </c>
      <c r="Q11" s="29">
        <v>10688</v>
      </c>
      <c r="R11" s="29"/>
      <c r="S11" s="29"/>
      <c r="T11" s="29"/>
      <c r="U11" s="29"/>
      <c r="V11" s="30">
        <v>3072</v>
      </c>
      <c r="W11" s="38">
        <f>2424+1520</f>
        <v>3944</v>
      </c>
      <c r="X11" s="39"/>
      <c r="Y11" s="39"/>
      <c r="Z11" s="29">
        <v>7520</v>
      </c>
      <c r="AA11" s="29">
        <v>4224</v>
      </c>
      <c r="AB11" s="30">
        <f t="shared" si="3"/>
        <v>7296</v>
      </c>
      <c r="AC11" s="36"/>
      <c r="AD11" s="36"/>
      <c r="AE11" s="37"/>
      <c r="AF11" s="37"/>
    </row>
    <row r="12" spans="1:32">
      <c r="A12" s="1"/>
      <c r="B12" s="1"/>
      <c r="C12" s="1"/>
      <c r="D12" s="1"/>
      <c r="E12" s="2"/>
      <c r="F12" s="2"/>
      <c r="G12" s="2"/>
      <c r="H12" s="2"/>
      <c r="I12" s="869"/>
      <c r="J12" s="60" t="s">
        <v>37</v>
      </c>
      <c r="K12" s="59" t="s">
        <v>36</v>
      </c>
      <c r="L12" s="28"/>
      <c r="M12" s="29"/>
      <c r="N12" s="29"/>
      <c r="O12" s="29">
        <v>6912</v>
      </c>
      <c r="P12" s="29"/>
      <c r="Q12" s="29">
        <v>5208</v>
      </c>
      <c r="R12" s="29"/>
      <c r="S12" s="29"/>
      <c r="T12" s="29">
        <v>11628</v>
      </c>
      <c r="U12" s="29">
        <v>11796</v>
      </c>
      <c r="V12" s="30"/>
      <c r="W12" s="29"/>
      <c r="X12" s="29"/>
      <c r="Y12" s="29"/>
      <c r="Z12" s="29"/>
      <c r="AA12" s="29"/>
      <c r="AB12" s="30"/>
      <c r="AC12" s="36"/>
      <c r="AD12" s="36"/>
      <c r="AE12" s="37"/>
      <c r="AF12" s="37"/>
    </row>
    <row r="13" spans="1:32">
      <c r="A13" s="1"/>
      <c r="B13" s="1"/>
      <c r="D13" s="1"/>
      <c r="E13" s="2"/>
      <c r="F13" s="2"/>
      <c r="G13" s="2"/>
      <c r="H13" s="2"/>
      <c r="I13" s="869"/>
      <c r="J13" s="873" t="s">
        <v>38</v>
      </c>
      <c r="K13" s="870"/>
      <c r="L13" s="61">
        <f t="shared" ref="L13:AF13" si="4">SUM(L6:L12)</f>
        <v>27472</v>
      </c>
      <c r="M13" s="61">
        <f t="shared" si="4"/>
        <v>29060</v>
      </c>
      <c r="N13" s="61">
        <f t="shared" si="4"/>
        <v>52068</v>
      </c>
      <c r="O13" s="61">
        <f t="shared" si="4"/>
        <v>20652</v>
      </c>
      <c r="P13" s="61">
        <f t="shared" si="4"/>
        <v>103812</v>
      </c>
      <c r="Q13" s="61">
        <f t="shared" si="4"/>
        <v>59040</v>
      </c>
      <c r="R13" s="61">
        <f t="shared" si="4"/>
        <v>42836</v>
      </c>
      <c r="S13" s="61">
        <f t="shared" si="4"/>
        <v>12864</v>
      </c>
      <c r="T13" s="61">
        <f t="shared" si="4"/>
        <v>110040</v>
      </c>
      <c r="U13" s="61">
        <f t="shared" si="4"/>
        <v>44248</v>
      </c>
      <c r="V13" s="62">
        <f t="shared" si="4"/>
        <v>76428</v>
      </c>
      <c r="W13" s="61">
        <f t="shared" si="4"/>
        <v>95836</v>
      </c>
      <c r="X13" s="61">
        <f t="shared" si="4"/>
        <v>59520</v>
      </c>
      <c r="Y13" s="61">
        <f t="shared" si="4"/>
        <v>31872</v>
      </c>
      <c r="Z13" s="61">
        <f t="shared" si="4"/>
        <v>106464</v>
      </c>
      <c r="AA13" s="61">
        <f t="shared" si="4"/>
        <v>43776</v>
      </c>
      <c r="AB13" s="62">
        <f t="shared" si="4"/>
        <v>86400</v>
      </c>
      <c r="AC13" s="65">
        <f t="shared" si="4"/>
        <v>6336</v>
      </c>
      <c r="AD13" s="65">
        <f t="shared" si="4"/>
        <v>0</v>
      </c>
      <c r="AE13" s="66">
        <f t="shared" si="4"/>
        <v>0</v>
      </c>
      <c r="AF13" s="66">
        <f t="shared" si="4"/>
        <v>0</v>
      </c>
    </row>
    <row r="14" spans="1:32">
      <c r="A14" s="1"/>
      <c r="B14" s="1"/>
      <c r="D14" s="1"/>
      <c r="E14" s="2"/>
      <c r="F14" s="2"/>
      <c r="G14" s="2"/>
      <c r="H14" s="2"/>
      <c r="I14" s="869"/>
      <c r="J14" s="873" t="s">
        <v>39</v>
      </c>
      <c r="K14" s="870"/>
      <c r="L14" s="68">
        <f>금액!E11</f>
        <v>445720200.15999997</v>
      </c>
      <c r="M14" s="68">
        <f>금액!F11</f>
        <v>306576478.99999994</v>
      </c>
      <c r="N14" s="68">
        <f>금액!G11</f>
        <v>159696992.04000002</v>
      </c>
      <c r="O14" s="68">
        <f>금액!H11</f>
        <v>335394437.64000005</v>
      </c>
      <c r="P14" s="68">
        <f>금액!I11</f>
        <v>311194418.75999999</v>
      </c>
      <c r="Q14" s="68">
        <f>금액!J11</f>
        <v>1208753.52</v>
      </c>
      <c r="R14" s="68">
        <f>금액!K11</f>
        <v>464871513.08000004</v>
      </c>
      <c r="S14" s="68">
        <f>금액!L11</f>
        <v>154764443.52000001</v>
      </c>
      <c r="T14" s="68">
        <f>금액!M11</f>
        <v>1440435218.9199998</v>
      </c>
      <c r="U14" s="68">
        <f>금액!N11</f>
        <v>1118482806.28</v>
      </c>
      <c r="V14" s="69">
        <f>금액!O11</f>
        <v>2579325212.9200001</v>
      </c>
      <c r="W14" s="68">
        <f>금액!P11</f>
        <v>3640946104.1200004</v>
      </c>
      <c r="X14" s="68">
        <f>금액!Q11</f>
        <v>2382909388.8000002</v>
      </c>
      <c r="Y14" s="68">
        <f>금액!R11</f>
        <v>1276009543.6800001</v>
      </c>
      <c r="Z14" s="68">
        <f>금액!S11</f>
        <v>4064254391.04</v>
      </c>
      <c r="AA14" s="68">
        <f>금액!T11</f>
        <v>1752591421.4400001</v>
      </c>
      <c r="AB14" s="69">
        <f>금액!U11</f>
        <v>3260983322.8800001</v>
      </c>
      <c r="AC14" s="68">
        <f>금액!V11</f>
        <v>154625201.28</v>
      </c>
      <c r="AD14" s="70">
        <f>금액!W11</f>
        <v>0</v>
      </c>
      <c r="AE14" s="70">
        <f>금액!X11</f>
        <v>0</v>
      </c>
      <c r="AF14" s="70">
        <f>금액!Y11</f>
        <v>0</v>
      </c>
    </row>
    <row r="15" spans="1:32">
      <c r="A15" s="1"/>
      <c r="B15" s="1"/>
      <c r="D15" s="1"/>
      <c r="E15" s="2"/>
      <c r="F15" s="2"/>
      <c r="G15" s="2"/>
      <c r="H15" s="2"/>
      <c r="I15" s="870"/>
      <c r="J15" s="873" t="s">
        <v>40</v>
      </c>
      <c r="K15" s="870"/>
      <c r="L15" s="68">
        <f t="shared" ref="L15:AF15" si="5">L14*$I$4</f>
        <v>757724340272</v>
      </c>
      <c r="M15" s="68">
        <f t="shared" si="5"/>
        <v>521180014299.99988</v>
      </c>
      <c r="N15" s="68">
        <f t="shared" si="5"/>
        <v>271484886468.00003</v>
      </c>
      <c r="O15" s="68">
        <f t="shared" si="5"/>
        <v>570170543988.00012</v>
      </c>
      <c r="P15" s="68">
        <f t="shared" si="5"/>
        <v>529030511892</v>
      </c>
      <c r="Q15" s="68">
        <f t="shared" si="5"/>
        <v>2054880984</v>
      </c>
      <c r="R15" s="68">
        <f t="shared" si="5"/>
        <v>790281572236.00012</v>
      </c>
      <c r="S15" s="68">
        <f t="shared" si="5"/>
        <v>263099553984.00003</v>
      </c>
      <c r="T15" s="68">
        <f t="shared" si="5"/>
        <v>2448739872163.9995</v>
      </c>
      <c r="U15" s="68">
        <f t="shared" si="5"/>
        <v>1901420770676</v>
      </c>
      <c r="V15" s="72">
        <f t="shared" si="5"/>
        <v>4384852861964</v>
      </c>
      <c r="W15" s="68">
        <f t="shared" si="5"/>
        <v>6189608377004.001</v>
      </c>
      <c r="X15" s="68">
        <f t="shared" si="5"/>
        <v>4050945960960.0005</v>
      </c>
      <c r="Y15" s="68">
        <f t="shared" si="5"/>
        <v>2169216224256</v>
      </c>
      <c r="Z15" s="68">
        <f t="shared" si="5"/>
        <v>6909232464768</v>
      </c>
      <c r="AA15" s="68">
        <f t="shared" si="5"/>
        <v>2979405416448</v>
      </c>
      <c r="AB15" s="72">
        <f t="shared" si="5"/>
        <v>5543671648896</v>
      </c>
      <c r="AC15" s="68">
        <f t="shared" si="5"/>
        <v>262862842176</v>
      </c>
      <c r="AD15" s="70">
        <f t="shared" si="5"/>
        <v>0</v>
      </c>
      <c r="AE15" s="70">
        <f t="shared" si="5"/>
        <v>0</v>
      </c>
      <c r="AF15" s="70">
        <f t="shared" si="5"/>
        <v>0</v>
      </c>
    </row>
    <row r="16" spans="1:32">
      <c r="A16" s="1"/>
      <c r="B16" s="1"/>
      <c r="D16" s="1"/>
      <c r="E16" s="2"/>
      <c r="F16" s="2"/>
      <c r="G16" s="2"/>
      <c r="H16" s="2"/>
      <c r="I16" s="73"/>
      <c r="J16" s="73"/>
      <c r="K16" s="73"/>
      <c r="O16" s="74"/>
      <c r="P16" s="74"/>
      <c r="Q16" s="74"/>
      <c r="R16" s="74"/>
      <c r="S16" s="75"/>
      <c r="T16" s="75"/>
      <c r="U16" s="3"/>
      <c r="W16" s="74"/>
      <c r="X16" s="74"/>
      <c r="Y16" s="74"/>
      <c r="Z16" s="74"/>
      <c r="AE16" s="4"/>
      <c r="AF16" s="4"/>
    </row>
    <row r="17" spans="1:32">
      <c r="A17" s="1"/>
      <c r="B17" s="1"/>
      <c r="D17" s="1"/>
      <c r="E17" s="2"/>
      <c r="F17" s="2"/>
      <c r="G17" s="2"/>
      <c r="H17" s="2"/>
      <c r="I17" s="73"/>
      <c r="J17" s="73"/>
      <c r="K17" s="73"/>
      <c r="L17" s="76" t="s">
        <v>41</v>
      </c>
      <c r="M17" s="76" t="s">
        <v>41</v>
      </c>
      <c r="N17" s="76" t="s">
        <v>41</v>
      </c>
      <c r="O17" s="76" t="s">
        <v>41</v>
      </c>
      <c r="P17" s="76" t="s">
        <v>41</v>
      </c>
      <c r="Q17" s="76" t="s">
        <v>41</v>
      </c>
      <c r="R17" s="76" t="s">
        <v>41</v>
      </c>
      <c r="S17" s="76" t="s">
        <v>41</v>
      </c>
      <c r="T17" s="76" t="s">
        <v>41</v>
      </c>
      <c r="U17" s="76" t="s">
        <v>41</v>
      </c>
      <c r="V17" s="77" t="s">
        <v>42</v>
      </c>
      <c r="W17" s="77" t="s">
        <v>42</v>
      </c>
      <c r="X17" s="77" t="s">
        <v>42</v>
      </c>
      <c r="Y17" s="77" t="s">
        <v>42</v>
      </c>
      <c r="Z17" s="77" t="s">
        <v>42</v>
      </c>
      <c r="AA17" s="77" t="s">
        <v>42</v>
      </c>
      <c r="AB17" s="77" t="s">
        <v>42</v>
      </c>
      <c r="AC17" s="77" t="s">
        <v>42</v>
      </c>
      <c r="AD17" s="77" t="s">
        <v>42</v>
      </c>
      <c r="AE17" s="77" t="s">
        <v>42</v>
      </c>
      <c r="AF17" s="77" t="s">
        <v>42</v>
      </c>
    </row>
    <row r="18" spans="1:32" outlineLevel="1">
      <c r="A18" s="1"/>
      <c r="B18" s="1"/>
      <c r="C18" s="1"/>
      <c r="D18" s="1"/>
      <c r="E18" s="2"/>
      <c r="F18" s="2"/>
      <c r="G18" s="2"/>
      <c r="H18" s="2"/>
      <c r="I18" s="878" t="s">
        <v>43</v>
      </c>
      <c r="J18" s="879"/>
      <c r="K18" s="860"/>
      <c r="L18" s="79" t="s">
        <v>26</v>
      </c>
      <c r="M18" s="79" t="s">
        <v>15</v>
      </c>
      <c r="N18" s="79" t="s">
        <v>16</v>
      </c>
      <c r="O18" s="79" t="s">
        <v>17</v>
      </c>
      <c r="P18" s="80" t="s">
        <v>18</v>
      </c>
      <c r="Q18" s="80" t="s">
        <v>19</v>
      </c>
      <c r="R18" s="80" t="s">
        <v>20</v>
      </c>
      <c r="S18" s="80" t="s">
        <v>21</v>
      </c>
      <c r="T18" s="80" t="s">
        <v>22</v>
      </c>
      <c r="U18" s="80" t="s">
        <v>23</v>
      </c>
      <c r="V18" s="81" t="s">
        <v>24</v>
      </c>
      <c r="W18" s="79" t="s">
        <v>25</v>
      </c>
      <c r="X18" s="79" t="s">
        <v>26</v>
      </c>
      <c r="Y18" s="80" t="s">
        <v>15</v>
      </c>
      <c r="Z18" s="80" t="s">
        <v>16</v>
      </c>
      <c r="AA18" s="80" t="s">
        <v>17</v>
      </c>
      <c r="AB18" s="81" t="s">
        <v>18</v>
      </c>
      <c r="AC18" s="82" t="s">
        <v>19</v>
      </c>
      <c r="AD18" s="82" t="s">
        <v>20</v>
      </c>
      <c r="AE18" s="83" t="s">
        <v>21</v>
      </c>
      <c r="AF18" s="83" t="s">
        <v>22</v>
      </c>
    </row>
    <row r="19" spans="1:32" outlineLevel="1">
      <c r="A19" s="1"/>
      <c r="B19" s="1"/>
      <c r="C19" s="1"/>
      <c r="D19" s="1"/>
      <c r="E19" s="2"/>
      <c r="F19" s="2"/>
      <c r="G19" s="2"/>
      <c r="H19" s="2"/>
      <c r="I19" s="880" t="s">
        <v>44</v>
      </c>
      <c r="J19" s="864" t="s">
        <v>27</v>
      </c>
      <c r="K19" s="20">
        <v>1</v>
      </c>
      <c r="L19" s="84">
        <v>10091</v>
      </c>
      <c r="M19" s="84">
        <v>10170</v>
      </c>
      <c r="N19" s="84">
        <v>10429</v>
      </c>
      <c r="O19" s="84">
        <v>10538</v>
      </c>
      <c r="P19" s="84">
        <v>10862</v>
      </c>
      <c r="Q19" s="84">
        <v>7305</v>
      </c>
      <c r="R19" s="84">
        <v>8012</v>
      </c>
      <c r="S19" s="84">
        <v>6754</v>
      </c>
      <c r="T19" s="84">
        <v>7920</v>
      </c>
      <c r="U19" s="84">
        <v>8138</v>
      </c>
      <c r="V19" s="85">
        <v>8152</v>
      </c>
      <c r="W19" s="86">
        <v>8397</v>
      </c>
      <c r="X19" s="87">
        <v>8229</v>
      </c>
      <c r="Y19" s="87">
        <v>8393</v>
      </c>
      <c r="Z19" s="88">
        <v>8729</v>
      </c>
      <c r="AA19" s="84">
        <v>9078</v>
      </c>
      <c r="AB19" s="85">
        <v>9350</v>
      </c>
      <c r="AC19" s="89">
        <v>9163</v>
      </c>
      <c r="AD19" s="89">
        <v>9347</v>
      </c>
      <c r="AE19" s="90">
        <v>9534</v>
      </c>
      <c r="AF19" s="90">
        <v>9629</v>
      </c>
    </row>
    <row r="20" spans="1:32" outlineLevel="1">
      <c r="A20" s="1"/>
      <c r="B20" s="1"/>
      <c r="C20" s="1"/>
      <c r="D20" s="1"/>
      <c r="E20" s="2"/>
      <c r="F20" s="2"/>
      <c r="G20" s="2"/>
      <c r="H20" s="2"/>
      <c r="I20" s="865"/>
      <c r="J20" s="865"/>
      <c r="K20" s="20">
        <v>2</v>
      </c>
      <c r="L20" s="91">
        <v>6149</v>
      </c>
      <c r="M20" s="91">
        <v>6793</v>
      </c>
      <c r="N20" s="91">
        <v>6655</v>
      </c>
      <c r="O20" s="91">
        <v>6740</v>
      </c>
      <c r="P20" s="91">
        <v>6647</v>
      </c>
      <c r="Q20" s="91">
        <v>1972</v>
      </c>
      <c r="R20" s="91">
        <v>588</v>
      </c>
      <c r="S20" s="91">
        <v>2070</v>
      </c>
      <c r="T20" s="91">
        <v>2887</v>
      </c>
      <c r="U20" s="91">
        <v>3666</v>
      </c>
      <c r="V20" s="92">
        <v>3876</v>
      </c>
      <c r="W20" s="87">
        <v>3954</v>
      </c>
      <c r="X20" s="87">
        <v>3835</v>
      </c>
      <c r="Y20" s="87">
        <v>3912</v>
      </c>
      <c r="Z20" s="88">
        <v>3990</v>
      </c>
      <c r="AA20" s="91">
        <v>4030</v>
      </c>
      <c r="AB20" s="92">
        <v>4151</v>
      </c>
      <c r="AC20" s="86">
        <v>3985</v>
      </c>
      <c r="AD20" s="86">
        <v>4064</v>
      </c>
      <c r="AE20" s="93">
        <v>4146</v>
      </c>
      <c r="AF20" s="93">
        <v>4229</v>
      </c>
    </row>
    <row r="21" spans="1:32" outlineLevel="1">
      <c r="A21" s="1"/>
      <c r="B21" s="1"/>
      <c r="C21" s="1"/>
      <c r="D21" s="1"/>
      <c r="E21" s="2"/>
      <c r="F21" s="2"/>
      <c r="G21" s="2"/>
      <c r="H21" s="2"/>
      <c r="I21" s="865"/>
      <c r="J21" s="866"/>
      <c r="K21" s="20">
        <v>3</v>
      </c>
      <c r="L21" s="84">
        <v>1975</v>
      </c>
      <c r="M21" s="84">
        <v>2094</v>
      </c>
      <c r="N21" s="84">
        <v>2101</v>
      </c>
      <c r="O21" s="84">
        <v>1953</v>
      </c>
      <c r="P21" s="84">
        <v>1892</v>
      </c>
      <c r="Q21" s="84">
        <v>1785</v>
      </c>
      <c r="R21" s="84">
        <v>1922</v>
      </c>
      <c r="S21" s="84">
        <v>1407</v>
      </c>
      <c r="T21" s="84">
        <v>1512</v>
      </c>
      <c r="U21" s="84">
        <v>1161</v>
      </c>
      <c r="V21" s="92">
        <v>1115</v>
      </c>
      <c r="W21" s="86">
        <v>1148</v>
      </c>
      <c r="X21" s="87">
        <v>1137</v>
      </c>
      <c r="Y21" s="87">
        <v>1148</v>
      </c>
      <c r="Z21" s="88">
        <v>1171</v>
      </c>
      <c r="AA21" s="84">
        <v>1195</v>
      </c>
      <c r="AB21" s="92">
        <v>1207</v>
      </c>
      <c r="AC21" s="89">
        <v>1219</v>
      </c>
      <c r="AD21" s="89">
        <v>1231</v>
      </c>
      <c r="AE21" s="90">
        <v>1243</v>
      </c>
      <c r="AF21" s="90">
        <v>1256</v>
      </c>
    </row>
    <row r="22" spans="1:32" outlineLevel="1">
      <c r="A22" s="1"/>
      <c r="B22" s="1"/>
      <c r="C22" s="1"/>
      <c r="D22" s="1"/>
      <c r="E22" s="2"/>
      <c r="F22" s="2"/>
      <c r="G22" s="2"/>
      <c r="H22" s="2"/>
      <c r="I22" s="865"/>
      <c r="J22" s="871" t="s">
        <v>32</v>
      </c>
      <c r="K22" s="50">
        <v>1</v>
      </c>
      <c r="L22" s="84">
        <v>26395</v>
      </c>
      <c r="M22" s="84">
        <v>18036</v>
      </c>
      <c r="N22" s="84">
        <v>19567</v>
      </c>
      <c r="O22" s="84">
        <v>21775</v>
      </c>
      <c r="P22" s="84">
        <v>24094</v>
      </c>
      <c r="Q22" s="84">
        <v>20361</v>
      </c>
      <c r="R22" s="84">
        <v>21905</v>
      </c>
      <c r="S22" s="84">
        <v>22294</v>
      </c>
      <c r="T22" s="84">
        <v>24686</v>
      </c>
      <c r="U22" s="84">
        <v>25134</v>
      </c>
      <c r="V22" s="92">
        <v>26860</v>
      </c>
      <c r="W22" s="86">
        <v>29277</v>
      </c>
      <c r="X22" s="87">
        <v>28692</v>
      </c>
      <c r="Y22" s="87">
        <v>29840</v>
      </c>
      <c r="Z22" s="88">
        <v>32525</v>
      </c>
      <c r="AA22" s="84">
        <v>35127</v>
      </c>
      <c r="AB22" s="92">
        <v>36532</v>
      </c>
      <c r="AC22" s="89">
        <v>35802</v>
      </c>
      <c r="AD22" s="89">
        <v>36518</v>
      </c>
      <c r="AE22" s="90">
        <v>37248</v>
      </c>
      <c r="AF22" s="90">
        <v>37993</v>
      </c>
    </row>
    <row r="23" spans="1:32" outlineLevel="1">
      <c r="A23" s="1"/>
      <c r="B23" s="1"/>
      <c r="D23" s="1"/>
      <c r="E23" s="2"/>
      <c r="F23" s="2"/>
      <c r="G23" s="2"/>
      <c r="H23" s="2"/>
      <c r="I23" s="865"/>
      <c r="J23" s="865"/>
      <c r="K23" s="50">
        <v>2</v>
      </c>
      <c r="L23" s="84">
        <v>9582</v>
      </c>
      <c r="M23" s="84">
        <v>11036</v>
      </c>
      <c r="N23" s="84">
        <v>10102</v>
      </c>
      <c r="O23" s="84">
        <v>10640</v>
      </c>
      <c r="P23" s="84">
        <v>11504</v>
      </c>
      <c r="Q23" s="84">
        <v>10237</v>
      </c>
      <c r="R23" s="84">
        <v>13952</v>
      </c>
      <c r="S23" s="84">
        <v>13606</v>
      </c>
      <c r="T23" s="84">
        <v>14459</v>
      </c>
      <c r="U23" s="84">
        <v>12631</v>
      </c>
      <c r="V23" s="92">
        <v>14719</v>
      </c>
      <c r="W23" s="86">
        <v>16044</v>
      </c>
      <c r="X23" s="87">
        <v>16365</v>
      </c>
      <c r="Y23" s="87">
        <v>16856</v>
      </c>
      <c r="Z23" s="88">
        <v>17867</v>
      </c>
      <c r="AA23" s="84">
        <v>18760</v>
      </c>
      <c r="AB23" s="92">
        <v>19511</v>
      </c>
      <c r="AC23" s="89">
        <v>19706</v>
      </c>
      <c r="AD23" s="89">
        <v>20100</v>
      </c>
      <c r="AE23" s="90">
        <v>20502</v>
      </c>
      <c r="AF23" s="90">
        <v>20912</v>
      </c>
    </row>
    <row r="24" spans="1:32" outlineLevel="1">
      <c r="A24" s="1"/>
      <c r="B24" s="1"/>
      <c r="C24" s="1"/>
      <c r="D24" s="1"/>
      <c r="E24" s="2"/>
      <c r="F24" s="2"/>
      <c r="G24" s="2"/>
      <c r="H24" s="2"/>
      <c r="I24" s="865"/>
      <c r="J24" s="866"/>
      <c r="K24" s="50">
        <v>3</v>
      </c>
      <c r="L24" s="84">
        <v>2881</v>
      </c>
      <c r="M24" s="84">
        <v>3060</v>
      </c>
      <c r="N24" s="84">
        <v>3108</v>
      </c>
      <c r="O24" s="84">
        <v>3172</v>
      </c>
      <c r="P24" s="84">
        <v>3248</v>
      </c>
      <c r="Q24" s="84">
        <v>2466</v>
      </c>
      <c r="R24" s="84">
        <v>2899</v>
      </c>
      <c r="S24" s="84">
        <v>2728</v>
      </c>
      <c r="T24" s="84">
        <v>2877</v>
      </c>
      <c r="U24" s="84">
        <v>2182</v>
      </c>
      <c r="V24" s="92">
        <v>3191</v>
      </c>
      <c r="W24" s="86">
        <v>3223</v>
      </c>
      <c r="X24" s="87">
        <v>3255</v>
      </c>
      <c r="Y24" s="87">
        <v>3288</v>
      </c>
      <c r="Z24" s="88">
        <v>3353</v>
      </c>
      <c r="AA24" s="84">
        <v>3421</v>
      </c>
      <c r="AB24" s="92">
        <v>3455</v>
      </c>
      <c r="AC24" s="89">
        <v>3489</v>
      </c>
      <c r="AD24" s="89">
        <v>3524</v>
      </c>
      <c r="AE24" s="90">
        <v>3559</v>
      </c>
      <c r="AF24" s="90">
        <v>3595</v>
      </c>
    </row>
    <row r="25" spans="1:32" outlineLevel="1">
      <c r="A25" s="1"/>
      <c r="B25" s="1"/>
      <c r="C25" s="1"/>
      <c r="D25" s="1"/>
      <c r="E25" s="2"/>
      <c r="F25" s="2"/>
      <c r="G25" s="2"/>
      <c r="H25" s="2"/>
      <c r="I25" s="866"/>
      <c r="J25" s="95" t="s">
        <v>37</v>
      </c>
      <c r="K25" s="96" t="s">
        <v>36</v>
      </c>
      <c r="L25" s="97"/>
      <c r="M25" s="97"/>
      <c r="N25" s="97"/>
      <c r="O25" s="97"/>
      <c r="P25" s="97">
        <v>284</v>
      </c>
      <c r="Q25" s="97">
        <v>129</v>
      </c>
      <c r="R25" s="97">
        <v>22</v>
      </c>
      <c r="S25" s="97">
        <v>298</v>
      </c>
      <c r="T25" s="97">
        <v>133</v>
      </c>
      <c r="U25" s="97">
        <v>287</v>
      </c>
      <c r="V25" s="98">
        <v>296</v>
      </c>
      <c r="W25" s="97">
        <v>313</v>
      </c>
      <c r="X25" s="99">
        <v>354</v>
      </c>
      <c r="Y25" s="99">
        <v>343</v>
      </c>
      <c r="Z25" s="97">
        <v>350</v>
      </c>
      <c r="AA25" s="97">
        <v>357</v>
      </c>
      <c r="AB25" s="98">
        <v>372</v>
      </c>
      <c r="AC25" s="97">
        <v>383</v>
      </c>
      <c r="AD25" s="99">
        <v>379</v>
      </c>
      <c r="AE25" s="100">
        <v>387</v>
      </c>
      <c r="AF25" s="100">
        <v>398</v>
      </c>
    </row>
    <row r="26" spans="1:32" outlineLevel="1">
      <c r="A26" s="1"/>
      <c r="B26" s="1"/>
      <c r="C26" s="1"/>
      <c r="D26" s="1"/>
      <c r="E26" s="2"/>
      <c r="F26" s="2"/>
      <c r="G26" s="2"/>
      <c r="H26" s="2"/>
      <c r="I26" s="101"/>
      <c r="J26" s="881" t="s">
        <v>38</v>
      </c>
      <c r="K26" s="870"/>
      <c r="L26" s="80">
        <f t="shared" ref="L26:O26" si="6">SUM(L19:L24)</f>
        <v>57073</v>
      </c>
      <c r="M26" s="80">
        <f t="shared" si="6"/>
        <v>51189</v>
      </c>
      <c r="N26" s="80">
        <f t="shared" si="6"/>
        <v>51962</v>
      </c>
      <c r="O26" s="80">
        <f t="shared" si="6"/>
        <v>54818</v>
      </c>
      <c r="P26" s="80">
        <f t="shared" ref="P26:AF26" si="7">SUM(P19:P25)</f>
        <v>58531</v>
      </c>
      <c r="Q26" s="80">
        <f t="shared" si="7"/>
        <v>44255</v>
      </c>
      <c r="R26" s="80">
        <f t="shared" si="7"/>
        <v>49300</v>
      </c>
      <c r="S26" s="80">
        <f t="shared" si="7"/>
        <v>49157</v>
      </c>
      <c r="T26" s="80">
        <f t="shared" si="7"/>
        <v>54474</v>
      </c>
      <c r="U26" s="80">
        <f t="shared" si="7"/>
        <v>53199</v>
      </c>
      <c r="V26" s="102">
        <f t="shared" si="7"/>
        <v>58209</v>
      </c>
      <c r="W26" s="80">
        <f t="shared" si="7"/>
        <v>62356</v>
      </c>
      <c r="X26" s="79">
        <f t="shared" si="7"/>
        <v>61867</v>
      </c>
      <c r="Y26" s="80">
        <f t="shared" si="7"/>
        <v>63780</v>
      </c>
      <c r="Z26" s="80">
        <f t="shared" si="7"/>
        <v>67985</v>
      </c>
      <c r="AA26" s="80">
        <f t="shared" si="7"/>
        <v>71968</v>
      </c>
      <c r="AB26" s="102">
        <f t="shared" si="7"/>
        <v>74578</v>
      </c>
      <c r="AC26" s="80">
        <f t="shared" si="7"/>
        <v>73747</v>
      </c>
      <c r="AD26" s="80">
        <f t="shared" si="7"/>
        <v>75163</v>
      </c>
      <c r="AE26" s="103">
        <f t="shared" si="7"/>
        <v>76619</v>
      </c>
      <c r="AF26" s="103">
        <f t="shared" si="7"/>
        <v>78012</v>
      </c>
    </row>
    <row r="27" spans="1:32">
      <c r="A27" s="1"/>
      <c r="B27" s="1"/>
      <c r="C27" s="1"/>
      <c r="D27" s="1"/>
      <c r="E27" s="2"/>
      <c r="F27" s="2"/>
      <c r="G27" s="2"/>
      <c r="H27" s="2"/>
      <c r="I27" s="73"/>
      <c r="J27" s="73"/>
      <c r="K27" s="73"/>
      <c r="L27" s="104"/>
      <c r="M27" s="104"/>
      <c r="N27" s="104"/>
      <c r="O27" s="104"/>
      <c r="P27" s="104"/>
      <c r="Q27" s="104"/>
      <c r="R27" s="104"/>
      <c r="S27" s="104"/>
      <c r="T27" s="104"/>
      <c r="U27" s="67">
        <f t="shared" ref="U27:AF27" si="8">SUM(U19:U24)</f>
        <v>52912</v>
      </c>
      <c r="V27" s="67">
        <f t="shared" si="8"/>
        <v>57913</v>
      </c>
      <c r="W27" s="67">
        <f t="shared" si="8"/>
        <v>62043</v>
      </c>
      <c r="X27" s="67">
        <f t="shared" si="8"/>
        <v>61513</v>
      </c>
      <c r="Y27" s="67">
        <f t="shared" si="8"/>
        <v>63437</v>
      </c>
      <c r="Z27" s="67">
        <f t="shared" si="8"/>
        <v>67635</v>
      </c>
      <c r="AA27" s="67">
        <f t="shared" si="8"/>
        <v>71611</v>
      </c>
      <c r="AB27" s="67">
        <f t="shared" si="8"/>
        <v>74206</v>
      </c>
      <c r="AC27" s="67">
        <f t="shared" si="8"/>
        <v>73364</v>
      </c>
      <c r="AD27" s="67">
        <f t="shared" si="8"/>
        <v>74784</v>
      </c>
      <c r="AE27" s="105">
        <f t="shared" si="8"/>
        <v>76232</v>
      </c>
      <c r="AF27" s="105">
        <f t="shared" si="8"/>
        <v>77614</v>
      </c>
    </row>
    <row r="28" spans="1:32">
      <c r="A28" s="1"/>
      <c r="B28" s="1"/>
      <c r="C28" s="1"/>
      <c r="D28" s="1"/>
      <c r="E28" s="2"/>
      <c r="F28" s="2"/>
      <c r="G28" s="2"/>
      <c r="H28" s="2"/>
      <c r="I28" s="73"/>
      <c r="J28" s="73"/>
      <c r="K28" s="73"/>
    </row>
    <row r="29" spans="1:32" ht="15.75" customHeight="1" outlineLevel="1">
      <c r="A29" s="106" t="s">
        <v>45</v>
      </c>
      <c r="B29" s="106" t="s">
        <v>46</v>
      </c>
      <c r="C29" s="107" t="s">
        <v>47</v>
      </c>
      <c r="D29" s="106" t="s">
        <v>48</v>
      </c>
      <c r="E29" s="108" t="s">
        <v>49</v>
      </c>
      <c r="F29" s="109" t="s">
        <v>50</v>
      </c>
      <c r="H29" s="109"/>
      <c r="I29" s="882" t="s">
        <v>51</v>
      </c>
      <c r="J29" s="879"/>
      <c r="K29" s="860"/>
      <c r="L29" s="110" t="s">
        <v>14</v>
      </c>
      <c r="M29" s="110" t="s">
        <v>15</v>
      </c>
      <c r="N29" s="110" t="s">
        <v>16</v>
      </c>
      <c r="O29" s="110" t="s">
        <v>17</v>
      </c>
      <c r="P29" s="110" t="s">
        <v>18</v>
      </c>
      <c r="Q29" s="110" t="s">
        <v>19</v>
      </c>
      <c r="R29" s="110" t="s">
        <v>20</v>
      </c>
      <c r="S29" s="110" t="s">
        <v>21</v>
      </c>
      <c r="T29" s="110" t="s">
        <v>22</v>
      </c>
      <c r="U29" s="110" t="s">
        <v>23</v>
      </c>
      <c r="V29" s="111" t="s">
        <v>24</v>
      </c>
      <c r="W29" s="110" t="s">
        <v>25</v>
      </c>
      <c r="X29" s="110" t="s">
        <v>26</v>
      </c>
      <c r="Y29" s="110" t="s">
        <v>15</v>
      </c>
      <c r="Z29" s="110" t="s">
        <v>16</v>
      </c>
      <c r="AA29" s="110" t="s">
        <v>17</v>
      </c>
      <c r="AB29" s="111" t="s">
        <v>18</v>
      </c>
      <c r="AC29" s="112" t="s">
        <v>19</v>
      </c>
      <c r="AD29" s="113" t="s">
        <v>20</v>
      </c>
      <c r="AE29" s="113" t="s">
        <v>21</v>
      </c>
      <c r="AF29" s="113" t="s">
        <v>22</v>
      </c>
    </row>
    <row r="30" spans="1:32" ht="15.75" customHeight="1" outlineLevel="1">
      <c r="A30" s="106">
        <v>47282</v>
      </c>
      <c r="B30" s="106">
        <v>797</v>
      </c>
      <c r="C30" s="106">
        <v>2036</v>
      </c>
      <c r="D30" s="106">
        <v>190</v>
      </c>
      <c r="E30" s="114">
        <f t="shared" ref="E30:E36" si="9">A30+B30+C30+D30</f>
        <v>50305</v>
      </c>
      <c r="F30" s="106">
        <f t="shared" ref="F30:F36" si="10">E30-(V19/31*9)</f>
        <v>47938.290322580644</v>
      </c>
      <c r="G30" s="67">
        <f t="shared" ref="G30:G36" si="11">V30-F30</f>
        <v>0</v>
      </c>
      <c r="I30" s="876" t="s">
        <v>51</v>
      </c>
      <c r="J30" s="883" t="s">
        <v>27</v>
      </c>
      <c r="K30" s="115">
        <v>1</v>
      </c>
      <c r="L30" s="116">
        <v>30844</v>
      </c>
      <c r="M30" s="117">
        <v>20669</v>
      </c>
      <c r="N30" s="117">
        <v>17050</v>
      </c>
      <c r="O30" s="117">
        <v>13685</v>
      </c>
      <c r="P30" s="117">
        <v>10623</v>
      </c>
      <c r="Q30" s="117">
        <v>3902</v>
      </c>
      <c r="R30" s="117">
        <v>9601</v>
      </c>
      <c r="S30" s="117">
        <v>3607</v>
      </c>
      <c r="T30" s="117">
        <v>39061</v>
      </c>
      <c r="U30" s="117">
        <v>42442</v>
      </c>
      <c r="V30" s="119">
        <v>47938.290322580644</v>
      </c>
      <c r="W30" s="116">
        <f t="shared" ref="W30:AF30" si="12">V30+W6-W19</f>
        <v>39541.290322580644</v>
      </c>
      <c r="X30" s="116">
        <f t="shared" si="12"/>
        <v>31312.290322580644</v>
      </c>
      <c r="Y30" s="116">
        <f t="shared" si="12"/>
        <v>22919.290322580644</v>
      </c>
      <c r="Z30" s="116">
        <f t="shared" si="12"/>
        <v>26862.290322580644</v>
      </c>
      <c r="AA30" s="117">
        <f t="shared" si="12"/>
        <v>17784.290322580644</v>
      </c>
      <c r="AB30" s="119">
        <f t="shared" si="12"/>
        <v>18802.290322580644</v>
      </c>
      <c r="AC30" s="116">
        <f t="shared" si="12"/>
        <v>15975.290322580644</v>
      </c>
      <c r="AD30" s="116">
        <f t="shared" si="12"/>
        <v>6628.290322580644</v>
      </c>
      <c r="AE30" s="120">
        <f t="shared" si="12"/>
        <v>-2905.709677419356</v>
      </c>
      <c r="AF30" s="120">
        <f t="shared" si="12"/>
        <v>-12534.709677419356</v>
      </c>
    </row>
    <row r="31" spans="1:32" ht="15.75" customHeight="1" outlineLevel="1">
      <c r="A31" s="106">
        <v>20378</v>
      </c>
      <c r="B31" s="106">
        <v>751</v>
      </c>
      <c r="C31" s="106">
        <v>3212</v>
      </c>
      <c r="D31" s="106">
        <v>350</v>
      </c>
      <c r="E31" s="114">
        <f t="shared" si="9"/>
        <v>24691</v>
      </c>
      <c r="F31" s="106">
        <f t="shared" si="10"/>
        <v>23565.709677419356</v>
      </c>
      <c r="G31" s="67">
        <f t="shared" si="11"/>
        <v>0</v>
      </c>
      <c r="I31" s="865"/>
      <c r="J31" s="884"/>
      <c r="K31" s="115">
        <v>2</v>
      </c>
      <c r="L31" s="116">
        <v>36898</v>
      </c>
      <c r="M31" s="117">
        <v>36258</v>
      </c>
      <c r="N31" s="117">
        <v>30555</v>
      </c>
      <c r="O31" s="117">
        <v>29714</v>
      </c>
      <c r="P31" s="117">
        <v>20343</v>
      </c>
      <c r="Q31" s="117">
        <v>0</v>
      </c>
      <c r="R31" s="117">
        <v>6194</v>
      </c>
      <c r="S31" s="117">
        <v>9670</v>
      </c>
      <c r="T31" s="117">
        <v>14884</v>
      </c>
      <c r="U31" s="117">
        <v>10629</v>
      </c>
      <c r="V31" s="119">
        <v>23565.709677419356</v>
      </c>
      <c r="W31" s="116">
        <f t="shared" ref="W31:AF31" si="13">V31+W7-W20</f>
        <v>26383.709677419356</v>
      </c>
      <c r="X31" s="116">
        <f t="shared" si="13"/>
        <v>22548.709677419356</v>
      </c>
      <c r="Y31" s="116">
        <f t="shared" si="13"/>
        <v>18636.709677419356</v>
      </c>
      <c r="Z31" s="116">
        <f t="shared" si="13"/>
        <v>14646.709677419356</v>
      </c>
      <c r="AA31" s="117">
        <f t="shared" si="13"/>
        <v>10616.709677419356</v>
      </c>
      <c r="AB31" s="119">
        <f t="shared" si="13"/>
        <v>8769.709677419356</v>
      </c>
      <c r="AC31" s="116">
        <f t="shared" si="13"/>
        <v>4784.709677419356</v>
      </c>
      <c r="AD31" s="116">
        <f t="shared" si="13"/>
        <v>720.70967741935601</v>
      </c>
      <c r="AE31" s="120">
        <f t="shared" si="13"/>
        <v>-3425.290322580644</v>
      </c>
      <c r="AF31" s="120">
        <f t="shared" si="13"/>
        <v>-7654.290322580644</v>
      </c>
    </row>
    <row r="32" spans="1:32" ht="15.75" customHeight="1" outlineLevel="1">
      <c r="A32" s="106">
        <v>3593</v>
      </c>
      <c r="B32" s="106">
        <v>415</v>
      </c>
      <c r="C32" s="106">
        <v>1012</v>
      </c>
      <c r="D32" s="106">
        <v>252</v>
      </c>
      <c r="E32" s="114">
        <f t="shared" si="9"/>
        <v>5272</v>
      </c>
      <c r="F32" s="106">
        <f t="shared" si="10"/>
        <v>4948.2903225806449</v>
      </c>
      <c r="G32" s="67">
        <f t="shared" si="11"/>
        <v>0</v>
      </c>
      <c r="I32" s="865"/>
      <c r="J32" s="885"/>
      <c r="K32" s="121">
        <v>3</v>
      </c>
      <c r="L32" s="116">
        <v>9504</v>
      </c>
      <c r="M32" s="117">
        <v>13528</v>
      </c>
      <c r="N32" s="117">
        <v>11315</v>
      </c>
      <c r="O32" s="117">
        <v>9370</v>
      </c>
      <c r="P32" s="117">
        <v>5587</v>
      </c>
      <c r="Q32" s="117">
        <v>3807</v>
      </c>
      <c r="R32" s="117">
        <v>2641</v>
      </c>
      <c r="S32" s="117">
        <v>1780</v>
      </c>
      <c r="T32" s="117">
        <v>7358</v>
      </c>
      <c r="U32" s="117">
        <v>5628</v>
      </c>
      <c r="V32" s="119">
        <v>4948.2903225806449</v>
      </c>
      <c r="W32" s="116">
        <f t="shared" ref="W32:AF32" si="14">V32+W8-W21</f>
        <v>9560.290322580644</v>
      </c>
      <c r="X32" s="116">
        <f t="shared" si="14"/>
        <v>8423.290322580644</v>
      </c>
      <c r="Y32" s="116">
        <f t="shared" si="14"/>
        <v>7275.290322580644</v>
      </c>
      <c r="Z32" s="116">
        <f t="shared" si="14"/>
        <v>6104.290322580644</v>
      </c>
      <c r="AA32" s="117">
        <f t="shared" si="14"/>
        <v>4909.290322580644</v>
      </c>
      <c r="AB32" s="119">
        <f t="shared" si="14"/>
        <v>3702.290322580644</v>
      </c>
      <c r="AC32" s="116">
        <f t="shared" si="14"/>
        <v>2483.290322580644</v>
      </c>
      <c r="AD32" s="116">
        <f t="shared" si="14"/>
        <v>1252.290322580644</v>
      </c>
      <c r="AE32" s="120">
        <f t="shared" si="14"/>
        <v>9.2903225806439877</v>
      </c>
      <c r="AF32" s="120">
        <f t="shared" si="14"/>
        <v>-1246.709677419356</v>
      </c>
    </row>
    <row r="33" spans="1:32" ht="15.75" customHeight="1" outlineLevel="1">
      <c r="A33" s="122">
        <v>28740</v>
      </c>
      <c r="B33" s="106">
        <v>2335</v>
      </c>
      <c r="C33" s="106">
        <v>2960</v>
      </c>
      <c r="D33" s="106">
        <v>597</v>
      </c>
      <c r="E33" s="114">
        <f t="shared" si="9"/>
        <v>34632</v>
      </c>
      <c r="F33" s="106">
        <f t="shared" si="10"/>
        <v>26833.93548387097</v>
      </c>
      <c r="G33" s="67">
        <f t="shared" si="11"/>
        <v>0</v>
      </c>
      <c r="I33" s="865"/>
      <c r="J33" s="886" t="s">
        <v>32</v>
      </c>
      <c r="K33" s="123">
        <v>1</v>
      </c>
      <c r="L33" s="116">
        <v>30317</v>
      </c>
      <c r="M33" s="117">
        <v>28612</v>
      </c>
      <c r="N33" s="117">
        <v>34273</v>
      </c>
      <c r="O33" s="117">
        <v>12108</v>
      </c>
      <c r="P33" s="117">
        <v>47968</v>
      </c>
      <c r="Q33" s="117">
        <v>45113</v>
      </c>
      <c r="R33" s="117">
        <v>49297</v>
      </c>
      <c r="S33" s="117">
        <v>28221</v>
      </c>
      <c r="T33" s="117">
        <v>42865</v>
      </c>
      <c r="U33" s="117">
        <v>38482</v>
      </c>
      <c r="V33" s="119">
        <v>26833.93548387097</v>
      </c>
      <c r="W33" s="116">
        <f t="shared" ref="W33:AF33" si="15">V33+W9-W22</f>
        <v>47948.93548387097</v>
      </c>
      <c r="X33" s="116">
        <f t="shared" si="15"/>
        <v>57656.93548387097</v>
      </c>
      <c r="Y33" s="116">
        <f t="shared" si="15"/>
        <v>48168.93548387097</v>
      </c>
      <c r="Z33" s="116">
        <f t="shared" si="15"/>
        <v>73243.93548387097</v>
      </c>
      <c r="AA33" s="117">
        <f t="shared" si="15"/>
        <v>66532.93548387097</v>
      </c>
      <c r="AB33" s="119">
        <f t="shared" si="15"/>
        <v>73008.93548387097</v>
      </c>
      <c r="AC33" s="116">
        <f t="shared" si="15"/>
        <v>37206.93548387097</v>
      </c>
      <c r="AD33" s="116">
        <f t="shared" si="15"/>
        <v>688.93548387096962</v>
      </c>
      <c r="AE33" s="120">
        <f t="shared" si="15"/>
        <v>-36559.06451612903</v>
      </c>
      <c r="AF33" s="120">
        <f t="shared" si="15"/>
        <v>-74552.06451612903</v>
      </c>
    </row>
    <row r="34" spans="1:32" ht="15.75" customHeight="1" outlineLevel="1">
      <c r="A34" s="122">
        <v>18843</v>
      </c>
      <c r="B34" s="124">
        <v>668</v>
      </c>
      <c r="C34" s="125">
        <v>4528</v>
      </c>
      <c r="D34" s="106">
        <v>493</v>
      </c>
      <c r="E34" s="114">
        <f t="shared" si="9"/>
        <v>24532</v>
      </c>
      <c r="F34" s="106">
        <f t="shared" si="10"/>
        <v>20258.741935483871</v>
      </c>
      <c r="G34" s="67">
        <f t="shared" si="11"/>
        <v>0</v>
      </c>
      <c r="I34" s="865"/>
      <c r="J34" s="884"/>
      <c r="K34" s="123">
        <v>2</v>
      </c>
      <c r="L34" s="116">
        <v>44579</v>
      </c>
      <c r="M34" s="117">
        <v>33292</v>
      </c>
      <c r="N34" s="117">
        <v>36167</v>
      </c>
      <c r="O34" s="117">
        <v>26193</v>
      </c>
      <c r="P34" s="117">
        <v>43047</v>
      </c>
      <c r="Q34" s="117">
        <v>51471</v>
      </c>
      <c r="R34" s="117">
        <v>39515</v>
      </c>
      <c r="S34" s="117">
        <v>33519</v>
      </c>
      <c r="T34" s="117">
        <v>18531</v>
      </c>
      <c r="U34" s="117">
        <v>6669</v>
      </c>
      <c r="V34" s="119">
        <v>20258.741935483871</v>
      </c>
      <c r="W34" s="116">
        <f t="shared" ref="W34:AF34" si="16">V34+W10-W23</f>
        <v>33182.741935483871</v>
      </c>
      <c r="X34" s="116">
        <f t="shared" si="16"/>
        <v>37937.741935483871</v>
      </c>
      <c r="Y34" s="116">
        <f t="shared" si="16"/>
        <v>32601.741935483871</v>
      </c>
      <c r="Z34" s="116">
        <f t="shared" si="16"/>
        <v>43406.741935483871</v>
      </c>
      <c r="AA34" s="117">
        <f t="shared" si="16"/>
        <v>35782.741935483871</v>
      </c>
      <c r="AB34" s="119">
        <f t="shared" si="16"/>
        <v>39695.741935483871</v>
      </c>
      <c r="AC34" s="116">
        <f t="shared" si="16"/>
        <v>19989.741935483871</v>
      </c>
      <c r="AD34" s="116">
        <f t="shared" si="16"/>
        <v>-110.2580645161288</v>
      </c>
      <c r="AE34" s="120">
        <f t="shared" si="16"/>
        <v>-20612.258064516129</v>
      </c>
      <c r="AF34" s="120">
        <f t="shared" si="16"/>
        <v>-41524.258064516129</v>
      </c>
    </row>
    <row r="35" spans="1:32" ht="15.75" customHeight="1" outlineLevel="1">
      <c r="A35" s="106">
        <v>7533</v>
      </c>
      <c r="B35" s="124">
        <v>342</v>
      </c>
      <c r="C35" s="125">
        <v>1628</v>
      </c>
      <c r="D35" s="106">
        <v>291</v>
      </c>
      <c r="E35" s="114">
        <f t="shared" si="9"/>
        <v>9794</v>
      </c>
      <c r="F35" s="106">
        <f t="shared" si="10"/>
        <v>8867.5806451612898</v>
      </c>
      <c r="G35" s="67">
        <f t="shared" si="11"/>
        <v>0</v>
      </c>
      <c r="I35" s="865"/>
      <c r="J35" s="885"/>
      <c r="K35" s="126">
        <v>3</v>
      </c>
      <c r="L35" s="116">
        <v>16866</v>
      </c>
      <c r="M35" s="117">
        <v>13727</v>
      </c>
      <c r="N35" s="117">
        <v>19729</v>
      </c>
      <c r="O35" s="117">
        <v>16406</v>
      </c>
      <c r="P35" s="117">
        <v>12636</v>
      </c>
      <c r="Q35" s="117">
        <v>18546</v>
      </c>
      <c r="R35" s="117">
        <v>16659</v>
      </c>
      <c r="S35" s="117">
        <v>14687</v>
      </c>
      <c r="T35" s="117">
        <v>11366</v>
      </c>
      <c r="U35" s="117">
        <v>8797</v>
      </c>
      <c r="V35" s="119">
        <v>8867.5806451612898</v>
      </c>
      <c r="W35" s="116">
        <f t="shared" ref="W35:AF35" si="17">V35+W11-W24</f>
        <v>9588.5806451612898</v>
      </c>
      <c r="X35" s="116">
        <f t="shared" si="17"/>
        <v>6333.5806451612898</v>
      </c>
      <c r="Y35" s="116">
        <f t="shared" si="17"/>
        <v>3045.5806451612898</v>
      </c>
      <c r="Z35" s="116">
        <f t="shared" si="17"/>
        <v>7212.5806451612898</v>
      </c>
      <c r="AA35" s="117">
        <f t="shared" si="17"/>
        <v>8015.5806451612898</v>
      </c>
      <c r="AB35" s="119">
        <f t="shared" si="17"/>
        <v>11856.58064516129</v>
      </c>
      <c r="AC35" s="116">
        <f t="shared" si="17"/>
        <v>8367.5806451612898</v>
      </c>
      <c r="AD35" s="116">
        <f t="shared" si="17"/>
        <v>4843.5806451612898</v>
      </c>
      <c r="AE35" s="120">
        <f t="shared" si="17"/>
        <v>1284.5806451612898</v>
      </c>
      <c r="AF35" s="120">
        <f t="shared" si="17"/>
        <v>-2310.4193548387102</v>
      </c>
    </row>
    <row r="36" spans="1:32" ht="15.75" customHeight="1" outlineLevel="1">
      <c r="A36" s="106">
        <v>34043</v>
      </c>
      <c r="B36" s="124">
        <v>0</v>
      </c>
      <c r="C36" s="125">
        <v>0</v>
      </c>
      <c r="D36" s="106">
        <v>0</v>
      </c>
      <c r="E36" s="114">
        <f t="shared" si="9"/>
        <v>34043</v>
      </c>
      <c r="F36" s="106">
        <f t="shared" si="10"/>
        <v>33957.06451612903</v>
      </c>
      <c r="G36" s="67">
        <f t="shared" si="11"/>
        <v>0</v>
      </c>
      <c r="I36" s="865"/>
      <c r="J36" s="60" t="s">
        <v>37</v>
      </c>
      <c r="K36" s="59" t="s">
        <v>36</v>
      </c>
      <c r="L36" s="116"/>
      <c r="M36" s="116"/>
      <c r="N36" s="116"/>
      <c r="O36" s="116">
        <f>N36+O12-O25</f>
        <v>6912</v>
      </c>
      <c r="P36" s="116">
        <v>45869</v>
      </c>
      <c r="Q36" s="116">
        <v>11717</v>
      </c>
      <c r="R36" s="116">
        <v>11671</v>
      </c>
      <c r="S36" s="116">
        <v>11347</v>
      </c>
      <c r="T36" s="116">
        <v>22844</v>
      </c>
      <c r="U36" s="116">
        <v>34353</v>
      </c>
      <c r="V36" s="119">
        <v>33957.06451612903</v>
      </c>
      <c r="W36" s="116">
        <f t="shared" ref="W36:AF36" si="18">V36+W12-W25</f>
        <v>33644.06451612903</v>
      </c>
      <c r="X36" s="116">
        <f t="shared" si="18"/>
        <v>33290.06451612903</v>
      </c>
      <c r="Y36" s="116">
        <f t="shared" si="18"/>
        <v>32947.06451612903</v>
      </c>
      <c r="Z36" s="116">
        <f t="shared" si="18"/>
        <v>32597.06451612903</v>
      </c>
      <c r="AA36" s="116">
        <f t="shared" si="18"/>
        <v>32240.06451612903</v>
      </c>
      <c r="AB36" s="119">
        <f t="shared" si="18"/>
        <v>31868.06451612903</v>
      </c>
      <c r="AC36" s="116">
        <f t="shared" si="18"/>
        <v>31485.06451612903</v>
      </c>
      <c r="AD36" s="116">
        <f t="shared" si="18"/>
        <v>31106.06451612903</v>
      </c>
      <c r="AE36" s="120">
        <f t="shared" si="18"/>
        <v>30719.06451612903</v>
      </c>
      <c r="AF36" s="120">
        <f t="shared" si="18"/>
        <v>30321.06451612903</v>
      </c>
    </row>
    <row r="37" spans="1:32" ht="15" outlineLevel="1">
      <c r="A37" s="128"/>
      <c r="B37" s="128"/>
      <c r="C37" s="128"/>
      <c r="D37" s="128"/>
      <c r="E37" s="129"/>
      <c r="F37" s="129"/>
      <c r="G37" s="129"/>
      <c r="H37" s="129"/>
      <c r="I37" s="130"/>
      <c r="J37" s="874" t="s">
        <v>38</v>
      </c>
      <c r="K37" s="870"/>
      <c r="L37" s="131">
        <f t="shared" ref="L37:O37" si="19">SUM(L30:L35)</f>
        <v>169008</v>
      </c>
      <c r="M37" s="131">
        <f t="shared" si="19"/>
        <v>146086</v>
      </c>
      <c r="N37" s="131">
        <f t="shared" si="19"/>
        <v>149089</v>
      </c>
      <c r="O37" s="131">
        <f t="shared" si="19"/>
        <v>107476</v>
      </c>
      <c r="P37" s="131">
        <f t="shared" ref="P37:AF37" si="20">SUM(P30:P36)</f>
        <v>186073</v>
      </c>
      <c r="Q37" s="131">
        <f t="shared" si="20"/>
        <v>134556</v>
      </c>
      <c r="R37" s="131">
        <f t="shared" si="20"/>
        <v>135578</v>
      </c>
      <c r="S37" s="131">
        <f t="shared" si="20"/>
        <v>102831</v>
      </c>
      <c r="T37" s="131">
        <f t="shared" si="20"/>
        <v>156909</v>
      </c>
      <c r="U37" s="131">
        <f t="shared" si="20"/>
        <v>147000</v>
      </c>
      <c r="V37" s="132">
        <f t="shared" si="20"/>
        <v>166369.61290322582</v>
      </c>
      <c r="W37" s="131">
        <f t="shared" si="20"/>
        <v>199849.61290322582</v>
      </c>
      <c r="X37" s="131">
        <f t="shared" si="20"/>
        <v>197502.61290322582</v>
      </c>
      <c r="Y37" s="131">
        <f t="shared" si="20"/>
        <v>165594.61290322582</v>
      </c>
      <c r="Z37" s="131">
        <f t="shared" si="20"/>
        <v>204073.61290322582</v>
      </c>
      <c r="AA37" s="131">
        <f t="shared" si="20"/>
        <v>175881.61290322582</v>
      </c>
      <c r="AB37" s="132">
        <f t="shared" si="20"/>
        <v>187703.61290322582</v>
      </c>
      <c r="AC37" s="131">
        <f t="shared" si="20"/>
        <v>120292.6129032258</v>
      </c>
      <c r="AD37" s="131">
        <f t="shared" si="20"/>
        <v>45129.612903225803</v>
      </c>
      <c r="AE37" s="131">
        <f t="shared" si="20"/>
        <v>-31489.387096774197</v>
      </c>
      <c r="AF37" s="131">
        <f t="shared" si="20"/>
        <v>-109501.38709677418</v>
      </c>
    </row>
    <row r="38" spans="1:32" ht="15">
      <c r="A38" s="133"/>
      <c r="B38" s="133"/>
      <c r="C38" s="133"/>
      <c r="D38" s="133"/>
      <c r="E38" s="129"/>
      <c r="F38" s="106"/>
      <c r="G38" s="106"/>
      <c r="H38" s="129"/>
      <c r="I38" s="129"/>
      <c r="J38" s="129"/>
      <c r="K38" s="134" t="s">
        <v>54</v>
      </c>
      <c r="L38" s="129" t="s">
        <v>55</v>
      </c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35"/>
      <c r="AF38" s="135"/>
    </row>
    <row r="39" spans="1:32" ht="15" outlineLevel="1">
      <c r="A39" s="133"/>
      <c r="B39" s="133"/>
      <c r="C39" s="128"/>
      <c r="D39" s="133"/>
      <c r="E39" s="129"/>
      <c r="F39" s="129"/>
      <c r="G39" s="129"/>
      <c r="H39" s="129"/>
      <c r="I39" s="875" t="s">
        <v>56</v>
      </c>
      <c r="J39" s="862"/>
      <c r="K39" s="862"/>
      <c r="L39" s="110" t="s">
        <v>14</v>
      </c>
      <c r="M39" s="110" t="s">
        <v>15</v>
      </c>
      <c r="N39" s="110" t="s">
        <v>16</v>
      </c>
      <c r="O39" s="110" t="s">
        <v>17</v>
      </c>
      <c r="P39" s="110" t="s">
        <v>18</v>
      </c>
      <c r="Q39" s="110" t="s">
        <v>19</v>
      </c>
      <c r="R39" s="110" t="s">
        <v>20</v>
      </c>
      <c r="S39" s="110" t="s">
        <v>21</v>
      </c>
      <c r="T39" s="110" t="s">
        <v>22</v>
      </c>
      <c r="U39" s="110" t="s">
        <v>23</v>
      </c>
      <c r="V39" s="111" t="s">
        <v>24</v>
      </c>
      <c r="W39" s="110" t="s">
        <v>25</v>
      </c>
      <c r="X39" s="110" t="s">
        <v>26</v>
      </c>
      <c r="Y39" s="110" t="s">
        <v>15</v>
      </c>
      <c r="Z39" s="110" t="s">
        <v>16</v>
      </c>
      <c r="AA39" s="110" t="s">
        <v>17</v>
      </c>
      <c r="AB39" s="111" t="s">
        <v>18</v>
      </c>
      <c r="AC39" s="113" t="s">
        <v>19</v>
      </c>
      <c r="AD39" s="113" t="s">
        <v>20</v>
      </c>
      <c r="AE39" s="113" t="s">
        <v>21</v>
      </c>
      <c r="AF39" s="113" t="s">
        <v>22</v>
      </c>
    </row>
    <row r="40" spans="1:32" ht="15" outlineLevel="1">
      <c r="A40" s="133"/>
      <c r="B40" s="133"/>
      <c r="C40" s="128"/>
      <c r="D40" s="133"/>
      <c r="E40" s="129"/>
      <c r="F40" s="129"/>
      <c r="G40" s="129"/>
      <c r="H40" s="129"/>
      <c r="I40" s="876" t="s">
        <v>57</v>
      </c>
      <c r="J40" s="864" t="s">
        <v>27</v>
      </c>
      <c r="K40" s="20">
        <v>1</v>
      </c>
      <c r="L40" s="136">
        <f t="shared" ref="L40:AF40" si="21">L30/L19</f>
        <v>3.0565850758101276</v>
      </c>
      <c r="M40" s="136">
        <f t="shared" si="21"/>
        <v>2.0323500491642084</v>
      </c>
      <c r="N40" s="136">
        <f t="shared" si="21"/>
        <v>1.6348643206443572</v>
      </c>
      <c r="O40" s="136">
        <f t="shared" si="21"/>
        <v>1.2986335167963561</v>
      </c>
      <c r="P40" s="136">
        <f t="shared" si="21"/>
        <v>0.9779966856932425</v>
      </c>
      <c r="Q40" s="136">
        <f t="shared" si="21"/>
        <v>0.53415468856947301</v>
      </c>
      <c r="R40" s="136">
        <f t="shared" si="21"/>
        <v>1.1983275087368948</v>
      </c>
      <c r="S40" s="136">
        <f t="shared" si="21"/>
        <v>0.53405389398874736</v>
      </c>
      <c r="T40" s="136">
        <f t="shared" si="21"/>
        <v>4.9319444444444445</v>
      </c>
      <c r="U40" s="136">
        <f t="shared" si="21"/>
        <v>5.2152863111329566</v>
      </c>
      <c r="V40" s="137">
        <f t="shared" si="21"/>
        <v>5.8805557314254964</v>
      </c>
      <c r="W40" s="136">
        <f t="shared" si="21"/>
        <v>4.7089782449184998</v>
      </c>
      <c r="X40" s="136">
        <f t="shared" si="21"/>
        <v>3.8051148769693333</v>
      </c>
      <c r="Y40" s="136">
        <f t="shared" si="21"/>
        <v>2.7307625786465679</v>
      </c>
      <c r="Z40" s="136">
        <f t="shared" si="21"/>
        <v>3.0773617049582591</v>
      </c>
      <c r="AA40" s="136">
        <f t="shared" si="21"/>
        <v>1.959053791868324</v>
      </c>
      <c r="AB40" s="137">
        <f t="shared" si="21"/>
        <v>2.0109401414524752</v>
      </c>
      <c r="AC40" s="136">
        <f t="shared" si="21"/>
        <v>1.7434563268122496</v>
      </c>
      <c r="AD40" s="136">
        <f t="shared" si="21"/>
        <v>0.70913558602553162</v>
      </c>
      <c r="AE40" s="138">
        <f t="shared" si="21"/>
        <v>-0.30477340858184981</v>
      </c>
      <c r="AF40" s="138">
        <f t="shared" si="21"/>
        <v>-1.3017665050804192</v>
      </c>
    </row>
    <row r="41" spans="1:32" ht="15" outlineLevel="1">
      <c r="A41" s="133"/>
      <c r="B41" s="133"/>
      <c r="C41" s="133"/>
      <c r="D41" s="133"/>
      <c r="E41" s="129"/>
      <c r="F41" s="129"/>
      <c r="G41" s="129"/>
      <c r="H41" s="129"/>
      <c r="I41" s="865"/>
      <c r="J41" s="865"/>
      <c r="K41" s="20">
        <v>2</v>
      </c>
      <c r="L41" s="136">
        <f t="shared" ref="L41:AF41" si="22">L31/L20</f>
        <v>6.0006505122784191</v>
      </c>
      <c r="M41" s="136">
        <f t="shared" si="22"/>
        <v>5.3375533637568084</v>
      </c>
      <c r="N41" s="136">
        <f t="shared" si="22"/>
        <v>4.5912847483095414</v>
      </c>
      <c r="O41" s="136">
        <f t="shared" si="22"/>
        <v>4.4086053412462904</v>
      </c>
      <c r="P41" s="136">
        <f t="shared" si="22"/>
        <v>3.0604784113133743</v>
      </c>
      <c r="Q41" s="136">
        <f t="shared" si="22"/>
        <v>0</v>
      </c>
      <c r="R41" s="136">
        <f t="shared" si="22"/>
        <v>10.534013605442176</v>
      </c>
      <c r="S41" s="136">
        <f t="shared" si="22"/>
        <v>4.6714975845410631</v>
      </c>
      <c r="T41" s="136">
        <f t="shared" si="22"/>
        <v>5.1555247661932802</v>
      </c>
      <c r="U41" s="136">
        <f t="shared" si="22"/>
        <v>2.8993453355155481</v>
      </c>
      <c r="V41" s="137">
        <f t="shared" si="22"/>
        <v>6.0799044575385333</v>
      </c>
      <c r="W41" s="136">
        <f t="shared" si="22"/>
        <v>6.672663044365037</v>
      </c>
      <c r="X41" s="136">
        <f t="shared" si="22"/>
        <v>5.8797156916347735</v>
      </c>
      <c r="Y41" s="136">
        <f t="shared" si="22"/>
        <v>4.7639850913648658</v>
      </c>
      <c r="Z41" s="136">
        <f t="shared" si="22"/>
        <v>3.6708545557441994</v>
      </c>
      <c r="AA41" s="136">
        <f t="shared" si="22"/>
        <v>2.6344192747938848</v>
      </c>
      <c r="AB41" s="137">
        <f t="shared" si="22"/>
        <v>2.1126739767331619</v>
      </c>
      <c r="AC41" s="136">
        <f t="shared" si="22"/>
        <v>1.2006799692394872</v>
      </c>
      <c r="AD41" s="136">
        <f t="shared" si="22"/>
        <v>0.17733997967995965</v>
      </c>
      <c r="AE41" s="139">
        <f t="shared" si="22"/>
        <v>-0.82616746806093677</v>
      </c>
      <c r="AF41" s="139">
        <f t="shared" si="22"/>
        <v>-1.8099527837740941</v>
      </c>
    </row>
    <row r="42" spans="1:32" ht="15" outlineLevel="1">
      <c r="A42" s="133"/>
      <c r="B42" s="133"/>
      <c r="C42" s="133"/>
      <c r="D42" s="133"/>
      <c r="E42" s="129"/>
      <c r="F42" s="129"/>
      <c r="G42" s="129"/>
      <c r="H42" s="129"/>
      <c r="I42" s="865"/>
      <c r="J42" s="866"/>
      <c r="K42" s="20">
        <v>3</v>
      </c>
      <c r="L42" s="136">
        <f t="shared" ref="L42:AF42" si="23">L32/L21</f>
        <v>4.8121518987341769</v>
      </c>
      <c r="M42" s="136">
        <f t="shared" si="23"/>
        <v>6.4603629417382997</v>
      </c>
      <c r="N42" s="136">
        <f t="shared" si="23"/>
        <v>5.3855306996668251</v>
      </c>
      <c r="O42" s="136">
        <f t="shared" si="23"/>
        <v>4.7977470558115716</v>
      </c>
      <c r="P42" s="136">
        <f t="shared" si="23"/>
        <v>2.9529598308668077</v>
      </c>
      <c r="Q42" s="136">
        <f t="shared" si="23"/>
        <v>2.1327731092436975</v>
      </c>
      <c r="R42" s="136">
        <f t="shared" si="23"/>
        <v>1.374089490114464</v>
      </c>
      <c r="S42" s="136">
        <f t="shared" si="23"/>
        <v>1.2651030561478323</v>
      </c>
      <c r="T42" s="136">
        <f t="shared" si="23"/>
        <v>4.8664021164021163</v>
      </c>
      <c r="U42" s="136">
        <f t="shared" si="23"/>
        <v>4.8475452196382429</v>
      </c>
      <c r="V42" s="137">
        <f t="shared" si="23"/>
        <v>4.4379285404310718</v>
      </c>
      <c r="W42" s="136">
        <f t="shared" si="23"/>
        <v>8.3277790266381917</v>
      </c>
      <c r="X42" s="136">
        <f t="shared" si="23"/>
        <v>7.4083468096575587</v>
      </c>
      <c r="Y42" s="136">
        <f t="shared" si="23"/>
        <v>6.3373609081712923</v>
      </c>
      <c r="Z42" s="136">
        <f t="shared" si="23"/>
        <v>5.2128866973361605</v>
      </c>
      <c r="AA42" s="136">
        <f t="shared" si="23"/>
        <v>4.1081927385612085</v>
      </c>
      <c r="AB42" s="137">
        <f t="shared" si="23"/>
        <v>3.0673490659325964</v>
      </c>
      <c r="AC42" s="136">
        <f t="shared" si="23"/>
        <v>2.0371536690571319</v>
      </c>
      <c r="AD42" s="136">
        <f t="shared" si="23"/>
        <v>1.0172951442572251</v>
      </c>
      <c r="AE42" s="138">
        <f t="shared" si="23"/>
        <v>7.4741130978632246E-3</v>
      </c>
      <c r="AF42" s="138">
        <f t="shared" si="23"/>
        <v>-0.99260324635299046</v>
      </c>
    </row>
    <row r="43" spans="1:32" ht="15" outlineLevel="1">
      <c r="A43" s="140"/>
      <c r="B43" s="140"/>
      <c r="C43" s="140"/>
      <c r="D43" s="140"/>
      <c r="E43" s="2"/>
      <c r="F43" s="2"/>
      <c r="G43" s="2"/>
      <c r="H43" s="2"/>
      <c r="I43" s="865"/>
      <c r="J43" s="886" t="s">
        <v>32</v>
      </c>
      <c r="K43" s="123">
        <v>1</v>
      </c>
      <c r="L43" s="136">
        <f t="shared" ref="L43:AF43" si="24">L33/L22</f>
        <v>1.1485887478689145</v>
      </c>
      <c r="M43" s="136">
        <f t="shared" si="24"/>
        <v>1.5863827899756044</v>
      </c>
      <c r="N43" s="136">
        <f t="shared" si="24"/>
        <v>1.7515715234834159</v>
      </c>
      <c r="O43" s="136">
        <f t="shared" si="24"/>
        <v>0.55605051664753158</v>
      </c>
      <c r="P43" s="136">
        <f t="shared" si="24"/>
        <v>1.990869096040508</v>
      </c>
      <c r="Q43" s="136">
        <f t="shared" si="24"/>
        <v>2.2156573842149205</v>
      </c>
      <c r="R43" s="136">
        <f t="shared" si="24"/>
        <v>2.250490755535266</v>
      </c>
      <c r="S43" s="136">
        <f t="shared" si="24"/>
        <v>1.2658562842020276</v>
      </c>
      <c r="T43" s="136">
        <f t="shared" si="24"/>
        <v>1.7364093008182775</v>
      </c>
      <c r="U43" s="136">
        <f t="shared" si="24"/>
        <v>1.5310734463276836</v>
      </c>
      <c r="V43" s="137">
        <f t="shared" si="24"/>
        <v>0.99902961592967121</v>
      </c>
      <c r="W43" s="136">
        <f t="shared" si="24"/>
        <v>1.6377680597011637</v>
      </c>
      <c r="X43" s="136">
        <f t="shared" si="24"/>
        <v>2.0095125987686799</v>
      </c>
      <c r="Y43" s="136">
        <f t="shared" si="24"/>
        <v>1.6142404652771773</v>
      </c>
      <c r="Z43" s="136">
        <f t="shared" si="24"/>
        <v>2.2519273015794301</v>
      </c>
      <c r="AA43" s="136">
        <f t="shared" si="24"/>
        <v>1.8940682518823404</v>
      </c>
      <c r="AB43" s="137">
        <f t="shared" si="24"/>
        <v>1.9984927045842267</v>
      </c>
      <c r="AC43" s="136">
        <f t="shared" si="24"/>
        <v>1.0392418156491527</v>
      </c>
      <c r="AD43" s="136">
        <f t="shared" si="24"/>
        <v>1.8865641159728618E-2</v>
      </c>
      <c r="AE43" s="141">
        <f t="shared" si="24"/>
        <v>-0.9815040946125706</v>
      </c>
      <c r="AF43" s="141">
        <f t="shared" si="24"/>
        <v>-1.9622579031960896</v>
      </c>
    </row>
    <row r="44" spans="1:32" ht="15" outlineLevel="1">
      <c r="A44" s="1"/>
      <c r="B44" s="1"/>
      <c r="C44" s="1"/>
      <c r="D44" s="1"/>
      <c r="E44" s="2"/>
      <c r="F44" s="2"/>
      <c r="G44" s="2"/>
      <c r="H44" s="2"/>
      <c r="I44" s="865"/>
      <c r="J44" s="884"/>
      <c r="K44" s="123">
        <v>2</v>
      </c>
      <c r="L44" s="136">
        <f t="shared" ref="L44:AF44" si="25">L34/L23</f>
        <v>4.6523690252556875</v>
      </c>
      <c r="M44" s="136">
        <f t="shared" si="25"/>
        <v>3.0166727075027184</v>
      </c>
      <c r="N44" s="136">
        <f t="shared" si="25"/>
        <v>3.5801821421500692</v>
      </c>
      <c r="O44" s="136">
        <f t="shared" si="25"/>
        <v>2.4617481203007521</v>
      </c>
      <c r="P44" s="136">
        <f t="shared" si="25"/>
        <v>3.7419158553546592</v>
      </c>
      <c r="Q44" s="136">
        <f t="shared" si="25"/>
        <v>5.0279378724235615</v>
      </c>
      <c r="R44" s="136">
        <f t="shared" si="25"/>
        <v>2.8322104357798166</v>
      </c>
      <c r="S44" s="136">
        <f t="shared" si="25"/>
        <v>2.4635454946347202</v>
      </c>
      <c r="T44" s="136">
        <f t="shared" si="25"/>
        <v>1.2816239020679161</v>
      </c>
      <c r="U44" s="136">
        <f t="shared" si="25"/>
        <v>0.52798669939038878</v>
      </c>
      <c r="V44" s="137">
        <f t="shared" si="25"/>
        <v>1.3763667324875244</v>
      </c>
      <c r="W44" s="136">
        <f t="shared" si="25"/>
        <v>2.0682337282151502</v>
      </c>
      <c r="X44" s="136">
        <f t="shared" si="25"/>
        <v>2.3182243773592344</v>
      </c>
      <c r="Y44" s="136">
        <f t="shared" si="25"/>
        <v>1.9341327678858491</v>
      </c>
      <c r="Z44" s="136">
        <f t="shared" si="25"/>
        <v>2.4294364994394062</v>
      </c>
      <c r="AA44" s="136">
        <f t="shared" si="25"/>
        <v>1.9073956255588418</v>
      </c>
      <c r="AB44" s="137">
        <f t="shared" si="25"/>
        <v>2.0345313892411396</v>
      </c>
      <c r="AC44" s="136">
        <f t="shared" si="25"/>
        <v>1.0143987585245038</v>
      </c>
      <c r="AD44" s="136">
        <f t="shared" si="25"/>
        <v>-5.4854758465735717E-3</v>
      </c>
      <c r="AE44" s="142">
        <f t="shared" si="25"/>
        <v>-1.0053779174966408</v>
      </c>
      <c r="AF44" s="142">
        <f t="shared" si="25"/>
        <v>-1.9856665103536786</v>
      </c>
    </row>
    <row r="45" spans="1:32" ht="15" outlineLevel="1">
      <c r="A45" s="1"/>
      <c r="B45" s="1"/>
      <c r="C45" s="1"/>
      <c r="D45" s="1"/>
      <c r="E45" s="2"/>
      <c r="F45" s="2"/>
      <c r="G45" s="2"/>
      <c r="H45" s="2"/>
      <c r="I45" s="865"/>
      <c r="J45" s="885"/>
      <c r="K45" s="126">
        <v>3</v>
      </c>
      <c r="L45" s="136">
        <f t="shared" ref="L45:AF45" si="26">L35/L24</f>
        <v>5.8542172856647001</v>
      </c>
      <c r="M45" s="136">
        <f t="shared" si="26"/>
        <v>4.4859477124183007</v>
      </c>
      <c r="N45" s="136">
        <f t="shared" si="26"/>
        <v>6.3478120978120982</v>
      </c>
      <c r="O45" s="136">
        <f t="shared" si="26"/>
        <v>5.1721311475409832</v>
      </c>
      <c r="P45" s="136">
        <f t="shared" si="26"/>
        <v>3.8903940886699506</v>
      </c>
      <c r="Q45" s="136">
        <f t="shared" si="26"/>
        <v>7.5206812652068127</v>
      </c>
      <c r="R45" s="136">
        <f t="shared" si="26"/>
        <v>5.7464642980338043</v>
      </c>
      <c r="S45" s="136">
        <f t="shared" si="26"/>
        <v>5.3837976539589443</v>
      </c>
      <c r="T45" s="136">
        <f t="shared" si="26"/>
        <v>3.9506430309350016</v>
      </c>
      <c r="U45" s="136">
        <f t="shared" si="26"/>
        <v>4.0316223648029332</v>
      </c>
      <c r="V45" s="137">
        <f t="shared" si="26"/>
        <v>2.778934705472043</v>
      </c>
      <c r="W45" s="136">
        <f t="shared" si="26"/>
        <v>2.9750482920140522</v>
      </c>
      <c r="X45" s="136">
        <f t="shared" si="26"/>
        <v>1.9458005054258956</v>
      </c>
      <c r="Y45" s="136">
        <f t="shared" si="26"/>
        <v>0.92627148575465013</v>
      </c>
      <c r="Z45" s="136">
        <f t="shared" si="26"/>
        <v>2.1510828049988935</v>
      </c>
      <c r="AA45" s="136">
        <f t="shared" si="26"/>
        <v>2.343051927846036</v>
      </c>
      <c r="AB45" s="137">
        <f t="shared" si="26"/>
        <v>3.4317165398440781</v>
      </c>
      <c r="AC45" s="136">
        <f t="shared" si="26"/>
        <v>2.3982747621557152</v>
      </c>
      <c r="AD45" s="136">
        <f t="shared" si="26"/>
        <v>1.374455347662114</v>
      </c>
      <c r="AE45" s="143">
        <f t="shared" si="26"/>
        <v>0.36093864713719859</v>
      </c>
      <c r="AF45" s="143">
        <f t="shared" si="26"/>
        <v>-0.64267575934317389</v>
      </c>
    </row>
    <row r="46" spans="1:32" ht="15" outlineLevel="1">
      <c r="A46" s="1"/>
      <c r="B46" s="1"/>
      <c r="C46" s="1"/>
      <c r="D46" s="1"/>
      <c r="E46" s="2"/>
      <c r="F46" s="2"/>
      <c r="G46" s="2"/>
      <c r="H46" s="2"/>
      <c r="I46" s="865"/>
      <c r="J46" s="60" t="s">
        <v>37</v>
      </c>
      <c r="K46" s="59" t="s">
        <v>36</v>
      </c>
      <c r="L46" s="144"/>
      <c r="M46" s="144"/>
      <c r="N46" s="144"/>
      <c r="O46" s="144"/>
      <c r="P46" s="144"/>
      <c r="Q46" s="116"/>
      <c r="R46" s="116"/>
      <c r="S46" s="116"/>
      <c r="T46" s="116"/>
      <c r="U46" s="136">
        <f t="shared" ref="U46:AF46" si="27">U36/U25</f>
        <v>119.69686411149826</v>
      </c>
      <c r="V46" s="137">
        <f t="shared" si="27"/>
        <v>114.71981255448996</v>
      </c>
      <c r="W46" s="136">
        <f t="shared" si="27"/>
        <v>107.48902401319179</v>
      </c>
      <c r="X46" s="136">
        <f t="shared" si="27"/>
        <v>94.039730271550937</v>
      </c>
      <c r="Y46" s="136">
        <f t="shared" si="27"/>
        <v>96.055581679676479</v>
      </c>
      <c r="Z46" s="136">
        <f t="shared" si="27"/>
        <v>93.134470046082939</v>
      </c>
      <c r="AA46" s="136">
        <f t="shared" si="27"/>
        <v>90.308303966747985</v>
      </c>
      <c r="AB46" s="137">
        <f t="shared" si="27"/>
        <v>85.666840097121053</v>
      </c>
      <c r="AC46" s="136">
        <f t="shared" si="27"/>
        <v>82.206434767960914</v>
      </c>
      <c r="AD46" s="136">
        <f t="shared" si="27"/>
        <v>82.074048855221719</v>
      </c>
      <c r="AE46" s="143">
        <f t="shared" si="27"/>
        <v>79.3774276902559</v>
      </c>
      <c r="AF46" s="143">
        <f t="shared" si="27"/>
        <v>76.183579186253851</v>
      </c>
    </row>
    <row r="47" spans="1:32" ht="15" outlineLevel="1">
      <c r="A47" s="1"/>
      <c r="B47" s="1"/>
      <c r="C47" s="1"/>
      <c r="D47" s="1"/>
      <c r="E47" s="2"/>
      <c r="F47" s="2"/>
      <c r="G47" s="2"/>
      <c r="H47" s="2"/>
      <c r="I47" s="145"/>
      <c r="J47" s="877" t="s">
        <v>38</v>
      </c>
      <c r="K47" s="870"/>
      <c r="L47" s="146">
        <f t="shared" ref="L47:O47" si="28">AVERAGE(L40:L45)</f>
        <v>4.2540937576020044</v>
      </c>
      <c r="M47" s="146">
        <f t="shared" si="28"/>
        <v>3.8198782607593231</v>
      </c>
      <c r="N47" s="146">
        <f t="shared" si="28"/>
        <v>3.8818742553443841</v>
      </c>
      <c r="O47" s="146">
        <f t="shared" si="28"/>
        <v>3.1158192830572475</v>
      </c>
      <c r="P47" s="146">
        <f t="shared" ref="P47:AF47" si="29">AVERAGE(P40:P46)</f>
        <v>2.7691023279897569</v>
      </c>
      <c r="Q47" s="146">
        <f t="shared" si="29"/>
        <v>2.9052007199430769</v>
      </c>
      <c r="R47" s="146">
        <f t="shared" si="29"/>
        <v>3.9892660156070701</v>
      </c>
      <c r="S47" s="146">
        <f t="shared" si="29"/>
        <v>2.597308994578889</v>
      </c>
      <c r="T47" s="146">
        <f t="shared" si="29"/>
        <v>3.6537579268101728</v>
      </c>
      <c r="U47" s="146">
        <f t="shared" si="29"/>
        <v>19.821389069758002</v>
      </c>
      <c r="V47" s="147">
        <f t="shared" si="29"/>
        <v>19.467504619682042</v>
      </c>
      <c r="W47" s="146">
        <f t="shared" si="29"/>
        <v>19.125642058434842</v>
      </c>
      <c r="X47" s="146">
        <f t="shared" si="29"/>
        <v>16.772349304480915</v>
      </c>
      <c r="Y47" s="146">
        <f t="shared" si="29"/>
        <v>16.33747642525384</v>
      </c>
      <c r="Z47" s="146">
        <f t="shared" si="29"/>
        <v>15.989717087162756</v>
      </c>
      <c r="AA47" s="146">
        <f t="shared" si="29"/>
        <v>15.022069368179801</v>
      </c>
      <c r="AB47" s="147">
        <f t="shared" si="29"/>
        <v>14.331791987844104</v>
      </c>
      <c r="AC47" s="146">
        <f t="shared" si="29"/>
        <v>13.091377152771306</v>
      </c>
      <c r="AD47" s="146">
        <f t="shared" si="29"/>
        <v>12.195093582594243</v>
      </c>
      <c r="AE47" s="146">
        <f t="shared" si="29"/>
        <v>10.946859651676993</v>
      </c>
      <c r="AF47" s="146">
        <f t="shared" si="29"/>
        <v>9.641236639736201</v>
      </c>
    </row>
    <row r="48" spans="1:32" ht="15">
      <c r="A48" s="1"/>
      <c r="B48" s="1"/>
      <c r="C48" s="1"/>
      <c r="D48" s="1"/>
      <c r="E48" s="2"/>
      <c r="F48" s="2"/>
      <c r="G48" s="2"/>
      <c r="H48" s="2"/>
      <c r="I48" s="1"/>
      <c r="J48" s="3"/>
      <c r="K48" s="3"/>
      <c r="AE48" s="4"/>
      <c r="AF48" s="4"/>
    </row>
    <row r="49" spans="3:32" ht="12.75">
      <c r="E49" s="148"/>
      <c r="F49" s="148"/>
      <c r="G49" s="148"/>
      <c r="H49" s="148"/>
      <c r="AE49" s="4"/>
      <c r="AF49" s="4"/>
    </row>
    <row r="50" spans="3:32" ht="12.75">
      <c r="E50" s="148"/>
      <c r="F50" s="148"/>
      <c r="G50" s="148"/>
      <c r="H50" s="148"/>
      <c r="AE50" s="4"/>
      <c r="AF50" s="4"/>
    </row>
    <row r="51" spans="3:32" ht="12.75">
      <c r="E51" s="148"/>
      <c r="F51" s="148"/>
      <c r="G51" s="148"/>
      <c r="H51" s="148"/>
      <c r="AE51" s="4"/>
      <c r="AF51" s="4"/>
    </row>
    <row r="52" spans="3:32" ht="14.25">
      <c r="C52" s="149"/>
      <c r="E52" s="148"/>
      <c r="F52" s="148"/>
      <c r="G52" s="148"/>
      <c r="H52" s="148"/>
      <c r="AE52" s="4"/>
      <c r="AF52" s="4"/>
    </row>
    <row r="53" spans="3:32" ht="14.25">
      <c r="C53" s="149"/>
      <c r="E53" s="148"/>
      <c r="F53" s="148"/>
      <c r="G53" s="148"/>
      <c r="H53" s="148"/>
      <c r="AE53" s="4"/>
      <c r="AF53" s="4"/>
    </row>
    <row r="54" spans="3:32" ht="14.25">
      <c r="C54" s="149"/>
      <c r="E54" s="148"/>
      <c r="F54" s="148"/>
      <c r="G54" s="148"/>
      <c r="H54" s="148"/>
      <c r="AE54" s="4"/>
      <c r="AF54" s="4"/>
    </row>
    <row r="55" spans="3:32" ht="14.25">
      <c r="C55" s="149"/>
      <c r="E55" s="148"/>
      <c r="F55" s="148"/>
      <c r="G55" s="148"/>
      <c r="H55" s="148"/>
      <c r="AE55" s="4"/>
      <c r="AF55" s="4"/>
    </row>
    <row r="56" spans="3:32" ht="12.75">
      <c r="E56" s="148"/>
      <c r="F56" s="148"/>
      <c r="G56" s="148"/>
      <c r="H56" s="148"/>
      <c r="AE56" s="4"/>
      <c r="AF56" s="4"/>
    </row>
    <row r="57" spans="3:32" ht="12.75">
      <c r="E57" s="148"/>
      <c r="F57" s="148"/>
      <c r="G57" s="148"/>
      <c r="H57" s="148"/>
      <c r="AE57" s="4"/>
      <c r="AF57" s="4"/>
    </row>
    <row r="58" spans="3:32" ht="12.75">
      <c r="E58" s="148"/>
      <c r="F58" s="148"/>
      <c r="G58" s="148"/>
      <c r="H58" s="148"/>
      <c r="AE58" s="4"/>
      <c r="AF58" s="4"/>
    </row>
    <row r="59" spans="3:32" ht="12.75">
      <c r="E59" s="148"/>
      <c r="F59" s="148"/>
      <c r="G59" s="148"/>
      <c r="H59" s="148"/>
      <c r="AE59" s="4"/>
      <c r="AF59" s="4"/>
    </row>
    <row r="60" spans="3:32" ht="12.75">
      <c r="E60" s="148"/>
      <c r="F60" s="148"/>
      <c r="G60" s="148"/>
      <c r="H60" s="148"/>
      <c r="AE60" s="4"/>
      <c r="AF60" s="4"/>
    </row>
    <row r="61" spans="3:32" ht="12.75">
      <c r="E61" s="148"/>
      <c r="F61" s="148"/>
      <c r="G61" s="148"/>
      <c r="H61" s="148"/>
      <c r="AE61" s="4"/>
      <c r="AF61" s="4"/>
    </row>
    <row r="62" spans="3:32" ht="12.75">
      <c r="E62" s="148"/>
      <c r="F62" s="148"/>
      <c r="G62" s="148"/>
      <c r="H62" s="148"/>
      <c r="AE62" s="4"/>
      <c r="AF62" s="4"/>
    </row>
    <row r="63" spans="3:32" ht="12.75">
      <c r="E63" s="148"/>
      <c r="F63" s="148"/>
      <c r="G63" s="148"/>
      <c r="H63" s="148"/>
      <c r="AE63" s="4"/>
      <c r="AF63" s="4"/>
    </row>
    <row r="64" spans="3:32" ht="12.75">
      <c r="E64" s="148"/>
      <c r="F64" s="148"/>
      <c r="G64" s="148"/>
      <c r="H64" s="148"/>
      <c r="AE64" s="4"/>
      <c r="AF64" s="4"/>
    </row>
    <row r="65" spans="5:32" ht="12.75">
      <c r="E65" s="148"/>
      <c r="F65" s="148"/>
      <c r="G65" s="148"/>
      <c r="H65" s="148"/>
      <c r="AE65" s="4"/>
      <c r="AF65" s="4"/>
    </row>
    <row r="66" spans="5:32" ht="12.75">
      <c r="E66" s="148"/>
      <c r="F66" s="148"/>
      <c r="G66" s="148"/>
      <c r="H66" s="148"/>
      <c r="AE66" s="4"/>
      <c r="AF66" s="4"/>
    </row>
    <row r="67" spans="5:32" ht="12.75">
      <c r="E67" s="148"/>
      <c r="F67" s="148"/>
      <c r="G67" s="148"/>
      <c r="H67" s="148"/>
      <c r="AE67" s="4"/>
      <c r="AF67" s="4"/>
    </row>
    <row r="68" spans="5:32" ht="12.75">
      <c r="E68" s="148"/>
      <c r="F68" s="148"/>
      <c r="G68" s="148"/>
      <c r="H68" s="148"/>
      <c r="AE68" s="4"/>
      <c r="AF68" s="4"/>
    </row>
    <row r="69" spans="5:32" ht="12.75">
      <c r="E69" s="148"/>
      <c r="F69" s="148"/>
      <c r="G69" s="148"/>
      <c r="H69" s="148"/>
      <c r="AE69" s="4"/>
      <c r="AF69" s="4"/>
    </row>
    <row r="70" spans="5:32" ht="12.75">
      <c r="E70" s="148"/>
      <c r="F70" s="148"/>
      <c r="G70" s="148"/>
      <c r="H70" s="148"/>
      <c r="AE70" s="4"/>
      <c r="AF70" s="4"/>
    </row>
    <row r="71" spans="5:32" ht="12.75">
      <c r="E71" s="148"/>
      <c r="F71" s="148"/>
      <c r="G71" s="148"/>
      <c r="H71" s="148"/>
      <c r="AE71" s="4"/>
      <c r="AF71" s="4"/>
    </row>
    <row r="72" spans="5:32" ht="12.75">
      <c r="E72" s="148"/>
      <c r="F72" s="148"/>
      <c r="G72" s="148"/>
      <c r="H72" s="148"/>
      <c r="AE72" s="4"/>
      <c r="AF72" s="4"/>
    </row>
    <row r="73" spans="5:32" ht="12.75">
      <c r="E73" s="148"/>
      <c r="F73" s="148"/>
      <c r="G73" s="148"/>
      <c r="H73" s="148"/>
      <c r="AE73" s="4"/>
      <c r="AF73" s="4"/>
    </row>
    <row r="74" spans="5:32" ht="12.75">
      <c r="E74" s="148"/>
      <c r="F74" s="148"/>
      <c r="G74" s="148"/>
      <c r="H74" s="148"/>
      <c r="AE74" s="4"/>
      <c r="AF74" s="4"/>
    </row>
    <row r="75" spans="5:32" ht="12.75">
      <c r="E75" s="148"/>
      <c r="F75" s="148"/>
      <c r="G75" s="148"/>
      <c r="H75" s="148"/>
      <c r="AE75" s="4"/>
      <c r="AF75" s="4"/>
    </row>
    <row r="76" spans="5:32" ht="12.75">
      <c r="E76" s="148"/>
      <c r="F76" s="148"/>
      <c r="G76" s="148"/>
      <c r="H76" s="148"/>
      <c r="AE76" s="4"/>
      <c r="AF76" s="4"/>
    </row>
    <row r="77" spans="5:32" ht="12.75">
      <c r="E77" s="148"/>
      <c r="F77" s="148"/>
      <c r="G77" s="148"/>
      <c r="H77" s="148"/>
      <c r="AE77" s="4"/>
      <c r="AF77" s="4"/>
    </row>
    <row r="78" spans="5:32" ht="12.75">
      <c r="E78" s="148"/>
      <c r="F78" s="148"/>
      <c r="G78" s="148"/>
      <c r="H78" s="148"/>
      <c r="AE78" s="4"/>
      <c r="AF78" s="4"/>
    </row>
    <row r="79" spans="5:32" ht="12.75">
      <c r="E79" s="148"/>
      <c r="F79" s="148"/>
      <c r="G79" s="148"/>
      <c r="H79" s="148"/>
      <c r="AE79" s="4"/>
      <c r="AF79" s="4"/>
    </row>
    <row r="80" spans="5:32" ht="12.75">
      <c r="E80" s="148"/>
      <c r="F80" s="148"/>
      <c r="G80" s="148"/>
      <c r="H80" s="148"/>
      <c r="AE80" s="4"/>
      <c r="AF80" s="4"/>
    </row>
    <row r="81" spans="5:32" ht="12.75">
      <c r="E81" s="148"/>
      <c r="F81" s="148"/>
      <c r="G81" s="148"/>
      <c r="H81" s="148"/>
      <c r="AE81" s="4"/>
      <c r="AF81" s="4"/>
    </row>
    <row r="82" spans="5:32" ht="12.75">
      <c r="E82" s="148"/>
      <c r="F82" s="148"/>
      <c r="G82" s="148"/>
      <c r="H82" s="148"/>
      <c r="AE82" s="4"/>
      <c r="AF82" s="4"/>
    </row>
    <row r="83" spans="5:32" ht="12.75">
      <c r="E83" s="148"/>
      <c r="F83" s="148"/>
      <c r="G83" s="148"/>
      <c r="H83" s="148"/>
      <c r="AE83" s="4"/>
      <c r="AF83" s="4"/>
    </row>
    <row r="84" spans="5:32" ht="12.75">
      <c r="E84" s="148"/>
      <c r="F84" s="148"/>
      <c r="G84" s="148"/>
      <c r="H84" s="148"/>
      <c r="AE84" s="4"/>
      <c r="AF84" s="4"/>
    </row>
    <row r="85" spans="5:32" ht="12.75">
      <c r="E85" s="148"/>
      <c r="F85" s="148"/>
      <c r="G85" s="148"/>
      <c r="H85" s="148"/>
      <c r="AE85" s="4"/>
      <c r="AF85" s="4"/>
    </row>
    <row r="86" spans="5:32" ht="12.75">
      <c r="E86" s="148"/>
      <c r="F86" s="148"/>
      <c r="G86" s="148"/>
      <c r="H86" s="148"/>
      <c r="AE86" s="4"/>
      <c r="AF86" s="4"/>
    </row>
    <row r="87" spans="5:32" ht="12.75">
      <c r="E87" s="148"/>
      <c r="F87" s="148"/>
      <c r="G87" s="148"/>
      <c r="H87" s="148"/>
      <c r="AE87" s="4"/>
      <c r="AF87" s="4"/>
    </row>
    <row r="88" spans="5:32" ht="12.75">
      <c r="E88" s="148"/>
      <c r="F88" s="148"/>
      <c r="G88" s="148"/>
      <c r="H88" s="148"/>
      <c r="AE88" s="4"/>
      <c r="AF88" s="4"/>
    </row>
    <row r="89" spans="5:32" ht="12.75">
      <c r="E89" s="148"/>
      <c r="F89" s="148"/>
      <c r="G89" s="148"/>
      <c r="H89" s="148"/>
      <c r="AE89" s="4"/>
      <c r="AF89" s="4"/>
    </row>
    <row r="90" spans="5:32" ht="12.75">
      <c r="E90" s="148"/>
      <c r="F90" s="148"/>
      <c r="G90" s="148"/>
      <c r="H90" s="148"/>
      <c r="AE90" s="4"/>
      <c r="AF90" s="4"/>
    </row>
    <row r="91" spans="5:32" ht="12.75">
      <c r="E91" s="148"/>
      <c r="F91" s="148"/>
      <c r="G91" s="148"/>
      <c r="H91" s="148"/>
      <c r="AE91" s="4"/>
      <c r="AF91" s="4"/>
    </row>
    <row r="92" spans="5:32" ht="12.75">
      <c r="E92" s="148"/>
      <c r="F92" s="148"/>
      <c r="G92" s="148"/>
      <c r="H92" s="148"/>
      <c r="AE92" s="4"/>
      <c r="AF92" s="4"/>
    </row>
    <row r="93" spans="5:32" ht="12.75">
      <c r="E93" s="148"/>
      <c r="F93" s="148"/>
      <c r="G93" s="148"/>
      <c r="H93" s="148"/>
      <c r="AE93" s="4"/>
      <c r="AF93" s="4"/>
    </row>
    <row r="94" spans="5:32" ht="12.75">
      <c r="E94" s="148"/>
      <c r="F94" s="148"/>
      <c r="G94" s="148"/>
      <c r="H94" s="148"/>
      <c r="AE94" s="4"/>
      <c r="AF94" s="4"/>
    </row>
    <row r="95" spans="5:32" ht="12.75">
      <c r="E95" s="148"/>
      <c r="F95" s="148"/>
      <c r="G95" s="148"/>
      <c r="H95" s="148"/>
      <c r="AE95" s="4"/>
      <c r="AF95" s="4"/>
    </row>
    <row r="96" spans="5:32" ht="12.75">
      <c r="E96" s="148"/>
      <c r="F96" s="148"/>
      <c r="G96" s="148"/>
      <c r="H96" s="148"/>
      <c r="AE96" s="4"/>
      <c r="AF96" s="4"/>
    </row>
    <row r="97" spans="5:32" ht="12.75">
      <c r="E97" s="148"/>
      <c r="F97" s="148"/>
      <c r="G97" s="148"/>
      <c r="H97" s="148"/>
      <c r="AE97" s="4"/>
      <c r="AF97" s="4"/>
    </row>
    <row r="98" spans="5:32" ht="12.75">
      <c r="E98" s="148"/>
      <c r="F98" s="148"/>
      <c r="G98" s="148"/>
      <c r="H98" s="148"/>
      <c r="AE98" s="4"/>
      <c r="AF98" s="4"/>
    </row>
    <row r="99" spans="5:32" ht="12.75">
      <c r="E99" s="148"/>
      <c r="F99" s="148"/>
      <c r="G99" s="148"/>
      <c r="H99" s="148"/>
      <c r="AE99" s="4"/>
      <c r="AF99" s="4"/>
    </row>
    <row r="100" spans="5:32" ht="12.75">
      <c r="E100" s="148"/>
      <c r="F100" s="148"/>
      <c r="G100" s="148"/>
      <c r="H100" s="148"/>
      <c r="AE100" s="4"/>
      <c r="AF100" s="4"/>
    </row>
    <row r="101" spans="5:32" ht="12.75">
      <c r="E101" s="148"/>
      <c r="F101" s="148"/>
      <c r="G101" s="148"/>
      <c r="H101" s="148"/>
      <c r="AE101" s="4"/>
      <c r="AF101" s="4"/>
    </row>
    <row r="102" spans="5:32" ht="12.75">
      <c r="E102" s="148"/>
      <c r="F102" s="148"/>
      <c r="G102" s="148"/>
      <c r="H102" s="148"/>
      <c r="AE102" s="4"/>
      <c r="AF102" s="4"/>
    </row>
    <row r="103" spans="5:32" ht="12.75">
      <c r="E103" s="148"/>
      <c r="F103" s="148"/>
      <c r="G103" s="148"/>
      <c r="H103" s="148"/>
      <c r="AE103" s="4"/>
      <c r="AF103" s="4"/>
    </row>
    <row r="104" spans="5:32" ht="12.75">
      <c r="E104" s="148"/>
      <c r="F104" s="148"/>
      <c r="G104" s="148"/>
      <c r="H104" s="148"/>
      <c r="AE104" s="4"/>
      <c r="AF104" s="4"/>
    </row>
    <row r="105" spans="5:32" ht="12.75">
      <c r="E105" s="148"/>
      <c r="F105" s="148"/>
      <c r="G105" s="148"/>
      <c r="H105" s="148"/>
      <c r="AE105" s="4"/>
      <c r="AF105" s="4"/>
    </row>
    <row r="106" spans="5:32" ht="12.75">
      <c r="E106" s="148"/>
      <c r="F106" s="148"/>
      <c r="G106" s="148"/>
      <c r="H106" s="148"/>
      <c r="AE106" s="4"/>
      <c r="AF106" s="4"/>
    </row>
    <row r="107" spans="5:32" ht="12.75">
      <c r="E107" s="148"/>
      <c r="F107" s="148"/>
      <c r="G107" s="148"/>
      <c r="H107" s="148"/>
      <c r="AE107" s="4"/>
      <c r="AF107" s="4"/>
    </row>
    <row r="108" spans="5:32" ht="12.75">
      <c r="E108" s="148"/>
      <c r="F108" s="148"/>
      <c r="G108" s="148"/>
      <c r="H108" s="148"/>
      <c r="AE108" s="4"/>
      <c r="AF108" s="4"/>
    </row>
    <row r="109" spans="5:32" ht="12.75">
      <c r="E109" s="148"/>
      <c r="F109" s="148"/>
      <c r="G109" s="148"/>
      <c r="H109" s="148"/>
      <c r="AE109" s="4"/>
      <c r="AF109" s="4"/>
    </row>
    <row r="110" spans="5:32" ht="12.75">
      <c r="E110" s="148"/>
      <c r="F110" s="148"/>
      <c r="G110" s="148"/>
      <c r="H110" s="148"/>
      <c r="AE110" s="4"/>
      <c r="AF110" s="4"/>
    </row>
    <row r="111" spans="5:32" ht="12.75">
      <c r="E111" s="148"/>
      <c r="F111" s="148"/>
      <c r="G111" s="148"/>
      <c r="H111" s="148"/>
      <c r="AE111" s="4"/>
      <c r="AF111" s="4"/>
    </row>
    <row r="112" spans="5:32" ht="12.75">
      <c r="E112" s="148"/>
      <c r="F112" s="148"/>
      <c r="G112" s="148"/>
      <c r="H112" s="148"/>
      <c r="AE112" s="4"/>
      <c r="AF112" s="4"/>
    </row>
    <row r="113" spans="5:32" ht="12.75">
      <c r="E113" s="148"/>
      <c r="F113" s="148"/>
      <c r="G113" s="148"/>
      <c r="H113" s="148"/>
      <c r="AE113" s="4"/>
      <c r="AF113" s="4"/>
    </row>
    <row r="114" spans="5:32" ht="12.75">
      <c r="E114" s="148"/>
      <c r="F114" s="148"/>
      <c r="G114" s="148"/>
      <c r="H114" s="148"/>
      <c r="AE114" s="4"/>
      <c r="AF114" s="4"/>
    </row>
    <row r="115" spans="5:32" ht="12.75">
      <c r="E115" s="148"/>
      <c r="F115" s="148"/>
      <c r="G115" s="148"/>
      <c r="H115" s="148"/>
      <c r="AE115" s="4"/>
      <c r="AF115" s="4"/>
    </row>
    <row r="116" spans="5:32" ht="12.75">
      <c r="E116" s="148"/>
      <c r="F116" s="148"/>
      <c r="G116" s="148"/>
      <c r="H116" s="148"/>
      <c r="AE116" s="4"/>
      <c r="AF116" s="4"/>
    </row>
    <row r="117" spans="5:32" ht="12.75">
      <c r="E117" s="148"/>
      <c r="F117" s="148"/>
      <c r="G117" s="148"/>
      <c r="H117" s="148"/>
      <c r="AE117" s="4"/>
      <c r="AF117" s="4"/>
    </row>
    <row r="118" spans="5:32" ht="12.75">
      <c r="E118" s="148"/>
      <c r="F118" s="148"/>
      <c r="G118" s="148"/>
      <c r="H118" s="148"/>
      <c r="AE118" s="4"/>
      <c r="AF118" s="4"/>
    </row>
    <row r="119" spans="5:32" ht="12.75">
      <c r="E119" s="148"/>
      <c r="F119" s="148"/>
      <c r="G119" s="148"/>
      <c r="H119" s="148"/>
      <c r="AE119" s="4"/>
      <c r="AF119" s="4"/>
    </row>
    <row r="120" spans="5:32" ht="12.75">
      <c r="E120" s="148"/>
      <c r="F120" s="148"/>
      <c r="G120" s="148"/>
      <c r="H120" s="148"/>
      <c r="AE120" s="4"/>
      <c r="AF120" s="4"/>
    </row>
    <row r="121" spans="5:32" ht="12.75">
      <c r="E121" s="148"/>
      <c r="F121" s="148"/>
      <c r="G121" s="148"/>
      <c r="H121" s="148"/>
      <c r="AE121" s="4"/>
      <c r="AF121" s="4"/>
    </row>
    <row r="122" spans="5:32" ht="12.75">
      <c r="E122" s="148"/>
      <c r="F122" s="148"/>
      <c r="G122" s="148"/>
      <c r="H122" s="148"/>
      <c r="AE122" s="4"/>
      <c r="AF122" s="4"/>
    </row>
    <row r="123" spans="5:32" ht="12.75">
      <c r="E123" s="148"/>
      <c r="F123" s="148"/>
      <c r="G123" s="148"/>
      <c r="H123" s="148"/>
      <c r="AE123" s="4"/>
      <c r="AF123" s="4"/>
    </row>
    <row r="124" spans="5:32" ht="12.75">
      <c r="E124" s="148"/>
      <c r="F124" s="148"/>
      <c r="G124" s="148"/>
      <c r="H124" s="148"/>
      <c r="AE124" s="4"/>
      <c r="AF124" s="4"/>
    </row>
    <row r="125" spans="5:32" ht="12.75">
      <c r="E125" s="148"/>
      <c r="F125" s="148"/>
      <c r="G125" s="148"/>
      <c r="H125" s="148"/>
      <c r="AE125" s="4"/>
      <c r="AF125" s="4"/>
    </row>
    <row r="126" spans="5:32" ht="12.75">
      <c r="E126" s="148"/>
      <c r="F126" s="148"/>
      <c r="G126" s="148"/>
      <c r="H126" s="148"/>
      <c r="AE126" s="4"/>
      <c r="AF126" s="4"/>
    </row>
    <row r="127" spans="5:32" ht="12.75">
      <c r="E127" s="148"/>
      <c r="F127" s="148"/>
      <c r="G127" s="148"/>
      <c r="H127" s="148"/>
      <c r="AE127" s="4"/>
      <c r="AF127" s="4"/>
    </row>
    <row r="128" spans="5:32" ht="12.75">
      <c r="E128" s="148"/>
      <c r="F128" s="148"/>
      <c r="G128" s="148"/>
      <c r="H128" s="148"/>
      <c r="AE128" s="4"/>
      <c r="AF128" s="4"/>
    </row>
    <row r="129" spans="5:32" ht="12.75">
      <c r="E129" s="148"/>
      <c r="F129" s="148"/>
      <c r="G129" s="148"/>
      <c r="H129" s="148"/>
      <c r="AE129" s="4"/>
      <c r="AF129" s="4"/>
    </row>
    <row r="130" spans="5:32" ht="12.75">
      <c r="E130" s="148"/>
      <c r="F130" s="148"/>
      <c r="G130" s="148"/>
      <c r="H130" s="148"/>
      <c r="AE130" s="4"/>
      <c r="AF130" s="4"/>
    </row>
    <row r="131" spans="5:32" ht="12.75">
      <c r="E131" s="148"/>
      <c r="F131" s="148"/>
      <c r="G131" s="148"/>
      <c r="H131" s="148"/>
      <c r="AE131" s="4"/>
      <c r="AF131" s="4"/>
    </row>
    <row r="132" spans="5:32" ht="12.75">
      <c r="E132" s="148"/>
      <c r="F132" s="148"/>
      <c r="G132" s="148"/>
      <c r="H132" s="148"/>
      <c r="AE132" s="4"/>
      <c r="AF132" s="4"/>
    </row>
    <row r="133" spans="5:32" ht="12.75">
      <c r="E133" s="148"/>
      <c r="F133" s="148"/>
      <c r="G133" s="148"/>
      <c r="H133" s="148"/>
      <c r="AE133" s="4"/>
      <c r="AF133" s="4"/>
    </row>
    <row r="134" spans="5:32" ht="12.75">
      <c r="E134" s="148"/>
      <c r="F134" s="148"/>
      <c r="G134" s="148"/>
      <c r="H134" s="148"/>
      <c r="AE134" s="4"/>
      <c r="AF134" s="4"/>
    </row>
    <row r="135" spans="5:32" ht="12.75">
      <c r="E135" s="148"/>
      <c r="F135" s="148"/>
      <c r="G135" s="148"/>
      <c r="H135" s="148"/>
      <c r="AE135" s="4"/>
      <c r="AF135" s="4"/>
    </row>
    <row r="136" spans="5:32" ht="12.75">
      <c r="E136" s="148"/>
      <c r="F136" s="148"/>
      <c r="G136" s="148"/>
      <c r="H136" s="148"/>
      <c r="AE136" s="4"/>
      <c r="AF136" s="4"/>
    </row>
    <row r="137" spans="5:32" ht="12.75">
      <c r="E137" s="148"/>
      <c r="F137" s="148"/>
      <c r="G137" s="148"/>
      <c r="H137" s="148"/>
      <c r="AE137" s="4"/>
      <c r="AF137" s="4"/>
    </row>
    <row r="138" spans="5:32" ht="12.75">
      <c r="E138" s="148"/>
      <c r="F138" s="148"/>
      <c r="G138" s="148"/>
      <c r="H138" s="148"/>
      <c r="AE138" s="4"/>
      <c r="AF138" s="4"/>
    </row>
    <row r="139" spans="5:32" ht="12.75">
      <c r="E139" s="148"/>
      <c r="F139" s="148"/>
      <c r="G139" s="148"/>
      <c r="H139" s="148"/>
      <c r="AE139" s="4"/>
      <c r="AF139" s="4"/>
    </row>
    <row r="140" spans="5:32" ht="12.75">
      <c r="E140" s="148"/>
      <c r="F140" s="148"/>
      <c r="G140" s="148"/>
      <c r="H140" s="148"/>
      <c r="AE140" s="4"/>
      <c r="AF140" s="4"/>
    </row>
    <row r="141" spans="5:32" ht="12.75">
      <c r="E141" s="148"/>
      <c r="F141" s="148"/>
      <c r="G141" s="148"/>
      <c r="H141" s="148"/>
      <c r="AE141" s="4"/>
      <c r="AF141" s="4"/>
    </row>
    <row r="142" spans="5:32" ht="12.75">
      <c r="E142" s="148"/>
      <c r="F142" s="148"/>
      <c r="G142" s="148"/>
      <c r="H142" s="148"/>
      <c r="AE142" s="4"/>
      <c r="AF142" s="4"/>
    </row>
    <row r="143" spans="5:32" ht="12.75">
      <c r="E143" s="148"/>
      <c r="F143" s="148"/>
      <c r="G143" s="148"/>
      <c r="H143" s="148"/>
      <c r="AE143" s="4"/>
      <c r="AF143" s="4"/>
    </row>
    <row r="144" spans="5:32" ht="12.75">
      <c r="E144" s="148"/>
      <c r="F144" s="148"/>
      <c r="G144" s="148"/>
      <c r="H144" s="148"/>
      <c r="AE144" s="4"/>
      <c r="AF144" s="4"/>
    </row>
    <row r="145" spans="5:32" ht="12.75">
      <c r="E145" s="148"/>
      <c r="F145" s="148"/>
      <c r="G145" s="148"/>
      <c r="H145" s="148"/>
      <c r="AE145" s="4"/>
      <c r="AF145" s="4"/>
    </row>
    <row r="146" spans="5:32" ht="12.75">
      <c r="E146" s="148"/>
      <c r="F146" s="148"/>
      <c r="G146" s="148"/>
      <c r="H146" s="148"/>
      <c r="AE146" s="4"/>
      <c r="AF146" s="4"/>
    </row>
    <row r="147" spans="5:32" ht="12.75">
      <c r="E147" s="148"/>
      <c r="F147" s="148"/>
      <c r="G147" s="148"/>
      <c r="H147" s="148"/>
      <c r="AE147" s="4"/>
      <c r="AF147" s="4"/>
    </row>
    <row r="148" spans="5:32" ht="12.75">
      <c r="E148" s="148"/>
      <c r="F148" s="148"/>
      <c r="G148" s="148"/>
      <c r="H148" s="148"/>
      <c r="AE148" s="4"/>
      <c r="AF148" s="4"/>
    </row>
    <row r="149" spans="5:32" ht="12.75">
      <c r="E149" s="148"/>
      <c r="F149" s="148"/>
      <c r="G149" s="148"/>
      <c r="H149" s="148"/>
      <c r="AE149" s="4"/>
      <c r="AF149" s="4"/>
    </row>
    <row r="150" spans="5:32" ht="12.75">
      <c r="E150" s="148"/>
      <c r="F150" s="148"/>
      <c r="G150" s="148"/>
      <c r="H150" s="148"/>
      <c r="AE150" s="4"/>
      <c r="AF150" s="4"/>
    </row>
    <row r="151" spans="5:32" ht="12.75">
      <c r="E151" s="148"/>
      <c r="F151" s="148"/>
      <c r="G151" s="148"/>
      <c r="H151" s="148"/>
      <c r="AE151" s="4"/>
      <c r="AF151" s="4"/>
    </row>
    <row r="152" spans="5:32" ht="12.75">
      <c r="E152" s="148"/>
      <c r="F152" s="148"/>
      <c r="G152" s="148"/>
      <c r="H152" s="148"/>
      <c r="AE152" s="4"/>
      <c r="AF152" s="4"/>
    </row>
    <row r="153" spans="5:32" ht="12.75">
      <c r="E153" s="148"/>
      <c r="F153" s="148"/>
      <c r="G153" s="148"/>
      <c r="H153" s="148"/>
      <c r="AE153" s="4"/>
      <c r="AF153" s="4"/>
    </row>
    <row r="154" spans="5:32" ht="12.75">
      <c r="E154" s="148"/>
      <c r="F154" s="148"/>
      <c r="G154" s="148"/>
      <c r="H154" s="148"/>
      <c r="AE154" s="4"/>
      <c r="AF154" s="4"/>
    </row>
    <row r="155" spans="5:32" ht="12.75">
      <c r="E155" s="148"/>
      <c r="F155" s="148"/>
      <c r="G155" s="148"/>
      <c r="H155" s="148"/>
      <c r="AE155" s="4"/>
      <c r="AF155" s="4"/>
    </row>
    <row r="156" spans="5:32" ht="12.75">
      <c r="E156" s="148"/>
      <c r="F156" s="148"/>
      <c r="G156" s="148"/>
      <c r="H156" s="148"/>
      <c r="AE156" s="4"/>
      <c r="AF156" s="4"/>
    </row>
    <row r="157" spans="5:32" ht="12.75">
      <c r="E157" s="148"/>
      <c r="F157" s="148"/>
      <c r="G157" s="148"/>
      <c r="H157" s="148"/>
      <c r="AE157" s="4"/>
      <c r="AF157" s="4"/>
    </row>
    <row r="158" spans="5:32" ht="12.75">
      <c r="E158" s="148"/>
      <c r="F158" s="148"/>
      <c r="G158" s="148"/>
      <c r="H158" s="148"/>
      <c r="AE158" s="4"/>
      <c r="AF158" s="4"/>
    </row>
    <row r="159" spans="5:32" ht="12.75">
      <c r="E159" s="148"/>
      <c r="F159" s="148"/>
      <c r="G159" s="148"/>
      <c r="H159" s="148"/>
      <c r="AE159" s="4"/>
      <c r="AF159" s="4"/>
    </row>
    <row r="160" spans="5:32" ht="12.75">
      <c r="E160" s="148"/>
      <c r="F160" s="148"/>
      <c r="G160" s="148"/>
      <c r="H160" s="148"/>
      <c r="AE160" s="4"/>
      <c r="AF160" s="4"/>
    </row>
    <row r="161" spans="5:32" ht="12.75">
      <c r="E161" s="148"/>
      <c r="F161" s="148"/>
      <c r="G161" s="148"/>
      <c r="H161" s="148"/>
      <c r="AE161" s="4"/>
      <c r="AF161" s="4"/>
    </row>
    <row r="162" spans="5:32" ht="12.75">
      <c r="E162" s="148"/>
      <c r="F162" s="148"/>
      <c r="G162" s="148"/>
      <c r="H162" s="148"/>
      <c r="AE162" s="4"/>
      <c r="AF162" s="4"/>
    </row>
    <row r="163" spans="5:32" ht="12.75">
      <c r="E163" s="148"/>
      <c r="F163" s="148"/>
      <c r="G163" s="148"/>
      <c r="H163" s="148"/>
      <c r="AE163" s="4"/>
      <c r="AF163" s="4"/>
    </row>
    <row r="164" spans="5:32" ht="12.75">
      <c r="E164" s="148"/>
      <c r="F164" s="148"/>
      <c r="G164" s="148"/>
      <c r="H164" s="148"/>
      <c r="AE164" s="4"/>
      <c r="AF164" s="4"/>
    </row>
    <row r="165" spans="5:32" ht="12.75">
      <c r="E165" s="148"/>
      <c r="F165" s="148"/>
      <c r="G165" s="148"/>
      <c r="H165" s="148"/>
      <c r="AE165" s="4"/>
      <c r="AF165" s="4"/>
    </row>
    <row r="166" spans="5:32" ht="12.75">
      <c r="E166" s="148"/>
      <c r="F166" s="148"/>
      <c r="G166" s="148"/>
      <c r="H166" s="148"/>
      <c r="AE166" s="4"/>
      <c r="AF166" s="4"/>
    </row>
    <row r="167" spans="5:32" ht="12.75">
      <c r="E167" s="148"/>
      <c r="F167" s="148"/>
      <c r="G167" s="148"/>
      <c r="H167" s="148"/>
      <c r="AE167" s="4"/>
      <c r="AF167" s="4"/>
    </row>
    <row r="168" spans="5:32" ht="12.75">
      <c r="E168" s="148"/>
      <c r="F168" s="148"/>
      <c r="G168" s="148"/>
      <c r="H168" s="148"/>
      <c r="AE168" s="4"/>
      <c r="AF168" s="4"/>
    </row>
    <row r="169" spans="5:32" ht="12.75">
      <c r="E169" s="148"/>
      <c r="F169" s="148"/>
      <c r="G169" s="148"/>
      <c r="H169" s="148"/>
      <c r="AE169" s="4"/>
      <c r="AF169" s="4"/>
    </row>
    <row r="170" spans="5:32" ht="12.75">
      <c r="E170" s="148"/>
      <c r="F170" s="148"/>
      <c r="G170" s="148"/>
      <c r="H170" s="148"/>
      <c r="AE170" s="4"/>
      <c r="AF170" s="4"/>
    </row>
    <row r="171" spans="5:32" ht="12.75">
      <c r="E171" s="148"/>
      <c r="F171" s="148"/>
      <c r="G171" s="148"/>
      <c r="H171" s="148"/>
      <c r="AE171" s="4"/>
      <c r="AF171" s="4"/>
    </row>
    <row r="172" spans="5:32" ht="12.75">
      <c r="E172" s="148"/>
      <c r="F172" s="148"/>
      <c r="G172" s="148"/>
      <c r="H172" s="148"/>
      <c r="AE172" s="4"/>
      <c r="AF172" s="4"/>
    </row>
    <row r="173" spans="5:32" ht="12.75">
      <c r="E173" s="148"/>
      <c r="F173" s="148"/>
      <c r="G173" s="148"/>
      <c r="H173" s="148"/>
      <c r="AE173" s="4"/>
      <c r="AF173" s="4"/>
    </row>
    <row r="174" spans="5:32" ht="12.75">
      <c r="E174" s="148"/>
      <c r="F174" s="148"/>
      <c r="G174" s="148"/>
      <c r="H174" s="148"/>
      <c r="AE174" s="4"/>
      <c r="AF174" s="4"/>
    </row>
    <row r="175" spans="5:32" ht="12.75">
      <c r="E175" s="148"/>
      <c r="F175" s="148"/>
      <c r="G175" s="148"/>
      <c r="H175" s="148"/>
      <c r="AE175" s="4"/>
      <c r="AF175" s="4"/>
    </row>
    <row r="176" spans="5:32" ht="12.75">
      <c r="E176" s="148"/>
      <c r="F176" s="148"/>
      <c r="G176" s="148"/>
      <c r="H176" s="148"/>
      <c r="AE176" s="4"/>
      <c r="AF176" s="4"/>
    </row>
    <row r="177" spans="5:32" ht="12.75">
      <c r="E177" s="148"/>
      <c r="F177" s="148"/>
      <c r="G177" s="148"/>
      <c r="H177" s="148"/>
      <c r="AE177" s="4"/>
      <c r="AF177" s="4"/>
    </row>
    <row r="178" spans="5:32" ht="12.75">
      <c r="E178" s="148"/>
      <c r="F178" s="148"/>
      <c r="G178" s="148"/>
      <c r="H178" s="148"/>
      <c r="AE178" s="4"/>
      <c r="AF178" s="4"/>
    </row>
    <row r="179" spans="5:32" ht="12.75">
      <c r="E179" s="148"/>
      <c r="F179" s="148"/>
      <c r="G179" s="148"/>
      <c r="H179" s="148"/>
      <c r="AE179" s="4"/>
      <c r="AF179" s="4"/>
    </row>
    <row r="180" spans="5:32" ht="12.75">
      <c r="E180" s="148"/>
      <c r="F180" s="148"/>
      <c r="G180" s="148"/>
      <c r="H180" s="148"/>
      <c r="AE180" s="4"/>
      <c r="AF180" s="4"/>
    </row>
    <row r="181" spans="5:32" ht="12.75">
      <c r="E181" s="148"/>
      <c r="F181" s="148"/>
      <c r="G181" s="148"/>
      <c r="H181" s="148"/>
      <c r="AE181" s="4"/>
      <c r="AF181" s="4"/>
    </row>
    <row r="182" spans="5:32" ht="12.75">
      <c r="E182" s="148"/>
      <c r="F182" s="148"/>
      <c r="G182" s="148"/>
      <c r="H182" s="148"/>
      <c r="AE182" s="4"/>
      <c r="AF182" s="4"/>
    </row>
    <row r="183" spans="5:32" ht="12.75">
      <c r="E183" s="148"/>
      <c r="F183" s="148"/>
      <c r="G183" s="148"/>
      <c r="H183" s="148"/>
      <c r="AE183" s="4"/>
      <c r="AF183" s="4"/>
    </row>
    <row r="184" spans="5:32" ht="12.75">
      <c r="E184" s="148"/>
      <c r="F184" s="148"/>
      <c r="G184" s="148"/>
      <c r="H184" s="148"/>
      <c r="AE184" s="4"/>
      <c r="AF184" s="4"/>
    </row>
    <row r="185" spans="5:32" ht="12.75">
      <c r="E185" s="148"/>
      <c r="F185" s="148"/>
      <c r="G185" s="148"/>
      <c r="H185" s="148"/>
      <c r="AE185" s="4"/>
      <c r="AF185" s="4"/>
    </row>
    <row r="186" spans="5:32" ht="12.75">
      <c r="E186" s="148"/>
      <c r="F186" s="148"/>
      <c r="G186" s="148"/>
      <c r="H186" s="148"/>
      <c r="AE186" s="4"/>
      <c r="AF186" s="4"/>
    </row>
    <row r="187" spans="5:32" ht="12.75">
      <c r="E187" s="148"/>
      <c r="F187" s="148"/>
      <c r="G187" s="148"/>
      <c r="H187" s="148"/>
      <c r="AE187" s="4"/>
      <c r="AF187" s="4"/>
    </row>
    <row r="188" spans="5:32" ht="12.75">
      <c r="E188" s="148"/>
      <c r="F188" s="148"/>
      <c r="G188" s="148"/>
      <c r="H188" s="148"/>
      <c r="AE188" s="4"/>
      <c r="AF188" s="4"/>
    </row>
    <row r="189" spans="5:32" ht="12.75">
      <c r="E189" s="148"/>
      <c r="F189" s="148"/>
      <c r="G189" s="148"/>
      <c r="H189" s="148"/>
      <c r="AE189" s="4"/>
      <c r="AF189" s="4"/>
    </row>
    <row r="190" spans="5:32" ht="12.75">
      <c r="E190" s="148"/>
      <c r="F190" s="148"/>
      <c r="G190" s="148"/>
      <c r="H190" s="148"/>
      <c r="AE190" s="4"/>
      <c r="AF190" s="4"/>
    </row>
    <row r="191" spans="5:32" ht="12.75">
      <c r="E191" s="148"/>
      <c r="F191" s="148"/>
      <c r="G191" s="148"/>
      <c r="H191" s="148"/>
      <c r="AE191" s="4"/>
      <c r="AF191" s="4"/>
    </row>
    <row r="192" spans="5:32" ht="12.75">
      <c r="E192" s="148"/>
      <c r="F192" s="148"/>
      <c r="G192" s="148"/>
      <c r="H192" s="148"/>
      <c r="AE192" s="4"/>
      <c r="AF192" s="4"/>
    </row>
    <row r="193" spans="5:32" ht="12.75">
      <c r="E193" s="148"/>
      <c r="F193" s="148"/>
      <c r="G193" s="148"/>
      <c r="H193" s="148"/>
      <c r="AE193" s="4"/>
      <c r="AF193" s="4"/>
    </row>
    <row r="194" spans="5:32" ht="12.75">
      <c r="E194" s="148"/>
      <c r="F194" s="148"/>
      <c r="G194" s="148"/>
      <c r="H194" s="148"/>
      <c r="AE194" s="4"/>
      <c r="AF194" s="4"/>
    </row>
    <row r="195" spans="5:32" ht="12.75">
      <c r="E195" s="148"/>
      <c r="F195" s="148"/>
      <c r="G195" s="148"/>
      <c r="H195" s="148"/>
      <c r="AE195" s="4"/>
      <c r="AF195" s="4"/>
    </row>
    <row r="196" spans="5:32" ht="12.75">
      <c r="E196" s="148"/>
      <c r="F196" s="148"/>
      <c r="G196" s="148"/>
      <c r="H196" s="148"/>
      <c r="AE196" s="4"/>
      <c r="AF196" s="4"/>
    </row>
    <row r="197" spans="5:32" ht="12.75">
      <c r="E197" s="148"/>
      <c r="F197" s="148"/>
      <c r="G197" s="148"/>
      <c r="H197" s="148"/>
      <c r="AE197" s="4"/>
      <c r="AF197" s="4"/>
    </row>
    <row r="198" spans="5:32" ht="12.75">
      <c r="E198" s="148"/>
      <c r="F198" s="148"/>
      <c r="G198" s="148"/>
      <c r="H198" s="148"/>
      <c r="AE198" s="4"/>
      <c r="AF198" s="4"/>
    </row>
    <row r="199" spans="5:32" ht="12.75">
      <c r="E199" s="148"/>
      <c r="F199" s="148"/>
      <c r="G199" s="148"/>
      <c r="H199" s="148"/>
      <c r="AE199" s="4"/>
      <c r="AF199" s="4"/>
    </row>
    <row r="200" spans="5:32" ht="12.75">
      <c r="E200" s="148"/>
      <c r="F200" s="148"/>
      <c r="G200" s="148"/>
      <c r="H200" s="148"/>
      <c r="AE200" s="4"/>
      <c r="AF200" s="4"/>
    </row>
    <row r="201" spans="5:32" ht="12.75">
      <c r="E201" s="148"/>
      <c r="F201" s="148"/>
      <c r="G201" s="148"/>
      <c r="H201" s="148"/>
      <c r="AE201" s="4"/>
      <c r="AF201" s="4"/>
    </row>
    <row r="202" spans="5:32" ht="12.75">
      <c r="E202" s="148"/>
      <c r="F202" s="148"/>
      <c r="G202" s="148"/>
      <c r="H202" s="148"/>
      <c r="AE202" s="4"/>
      <c r="AF202" s="4"/>
    </row>
    <row r="203" spans="5:32" ht="12.75">
      <c r="E203" s="148"/>
      <c r="F203" s="148"/>
      <c r="G203" s="148"/>
      <c r="H203" s="148"/>
      <c r="AE203" s="4"/>
      <c r="AF203" s="4"/>
    </row>
    <row r="204" spans="5:32" ht="12.75">
      <c r="E204" s="148"/>
      <c r="F204" s="148"/>
      <c r="G204" s="148"/>
      <c r="H204" s="148"/>
      <c r="AE204" s="4"/>
      <c r="AF204" s="4"/>
    </row>
    <row r="205" spans="5:32" ht="12.75">
      <c r="E205" s="148"/>
      <c r="F205" s="148"/>
      <c r="G205" s="148"/>
      <c r="H205" s="148"/>
      <c r="AE205" s="4"/>
      <c r="AF205" s="4"/>
    </row>
    <row r="206" spans="5:32" ht="12.75">
      <c r="E206" s="148"/>
      <c r="F206" s="148"/>
      <c r="G206" s="148"/>
      <c r="H206" s="148"/>
      <c r="AE206" s="4"/>
      <c r="AF206" s="4"/>
    </row>
    <row r="207" spans="5:32" ht="12.75">
      <c r="E207" s="148"/>
      <c r="F207" s="148"/>
      <c r="G207" s="148"/>
      <c r="H207" s="148"/>
      <c r="AE207" s="4"/>
      <c r="AF207" s="4"/>
    </row>
    <row r="208" spans="5:32" ht="12.75">
      <c r="E208" s="148"/>
      <c r="F208" s="148"/>
      <c r="G208" s="148"/>
      <c r="H208" s="148"/>
      <c r="AE208" s="4"/>
      <c r="AF208" s="4"/>
    </row>
    <row r="209" spans="5:32" ht="12.75">
      <c r="E209" s="148"/>
      <c r="F209" s="148"/>
      <c r="G209" s="148"/>
      <c r="H209" s="148"/>
      <c r="AE209" s="4"/>
      <c r="AF209" s="4"/>
    </row>
    <row r="210" spans="5:32" ht="12.75">
      <c r="E210" s="148"/>
      <c r="F210" s="148"/>
      <c r="G210" s="148"/>
      <c r="H210" s="148"/>
      <c r="AE210" s="4"/>
      <c r="AF210" s="4"/>
    </row>
    <row r="211" spans="5:32" ht="12.75">
      <c r="E211" s="148"/>
      <c r="F211" s="148"/>
      <c r="G211" s="148"/>
      <c r="H211" s="148"/>
      <c r="AE211" s="4"/>
      <c r="AF211" s="4"/>
    </row>
    <row r="212" spans="5:32" ht="12.75">
      <c r="E212" s="148"/>
      <c r="F212" s="148"/>
      <c r="G212" s="148"/>
      <c r="H212" s="148"/>
      <c r="AE212" s="4"/>
      <c r="AF212" s="4"/>
    </row>
    <row r="213" spans="5:32" ht="12.75">
      <c r="E213" s="148"/>
      <c r="F213" s="148"/>
      <c r="G213" s="148"/>
      <c r="H213" s="148"/>
      <c r="AE213" s="4"/>
      <c r="AF213" s="4"/>
    </row>
    <row r="214" spans="5:32" ht="12.75">
      <c r="E214" s="148"/>
      <c r="F214" s="148"/>
      <c r="G214" s="148"/>
      <c r="H214" s="148"/>
      <c r="AE214" s="4"/>
      <c r="AF214" s="4"/>
    </row>
    <row r="215" spans="5:32" ht="12.75">
      <c r="E215" s="148"/>
      <c r="F215" s="148"/>
      <c r="G215" s="148"/>
      <c r="H215" s="148"/>
      <c r="AE215" s="4"/>
      <c r="AF215" s="4"/>
    </row>
    <row r="216" spans="5:32" ht="12.75">
      <c r="E216" s="148"/>
      <c r="F216" s="148"/>
      <c r="G216" s="148"/>
      <c r="H216" s="148"/>
      <c r="AE216" s="4"/>
      <c r="AF216" s="4"/>
    </row>
    <row r="217" spans="5:32" ht="12.75">
      <c r="E217" s="148"/>
      <c r="F217" s="148"/>
      <c r="G217" s="148"/>
      <c r="H217" s="148"/>
      <c r="AE217" s="4"/>
      <c r="AF217" s="4"/>
    </row>
    <row r="218" spans="5:32" ht="12.75">
      <c r="E218" s="148"/>
      <c r="F218" s="148"/>
      <c r="G218" s="148"/>
      <c r="H218" s="148"/>
      <c r="AE218" s="4"/>
      <c r="AF218" s="4"/>
    </row>
    <row r="219" spans="5:32" ht="12.75">
      <c r="E219" s="148"/>
      <c r="F219" s="148"/>
      <c r="G219" s="148"/>
      <c r="H219" s="148"/>
      <c r="AE219" s="4"/>
      <c r="AF219" s="4"/>
    </row>
    <row r="220" spans="5:32" ht="12.75">
      <c r="E220" s="148"/>
      <c r="F220" s="148"/>
      <c r="G220" s="148"/>
      <c r="H220" s="148"/>
      <c r="AE220" s="4"/>
      <c r="AF220" s="4"/>
    </row>
    <row r="221" spans="5:32" ht="12.75">
      <c r="E221" s="148"/>
      <c r="F221" s="148"/>
      <c r="G221" s="148"/>
      <c r="H221" s="148"/>
      <c r="AE221" s="4"/>
      <c r="AF221" s="4"/>
    </row>
    <row r="222" spans="5:32" ht="12.75">
      <c r="E222" s="148"/>
      <c r="F222" s="148"/>
      <c r="G222" s="148"/>
      <c r="H222" s="148"/>
      <c r="AE222" s="4"/>
      <c r="AF222" s="4"/>
    </row>
    <row r="223" spans="5:32" ht="12.75">
      <c r="E223" s="148"/>
      <c r="F223" s="148"/>
      <c r="G223" s="148"/>
      <c r="H223" s="148"/>
      <c r="AE223" s="4"/>
      <c r="AF223" s="4"/>
    </row>
    <row r="224" spans="5:32" ht="12.75">
      <c r="E224" s="148"/>
      <c r="F224" s="148"/>
      <c r="G224" s="148"/>
      <c r="H224" s="148"/>
      <c r="AE224" s="4"/>
      <c r="AF224" s="4"/>
    </row>
    <row r="225" spans="5:32" ht="12.75">
      <c r="E225" s="148"/>
      <c r="F225" s="148"/>
      <c r="G225" s="148"/>
      <c r="H225" s="148"/>
      <c r="AE225" s="4"/>
      <c r="AF225" s="4"/>
    </row>
    <row r="226" spans="5:32" ht="12.75">
      <c r="E226" s="148"/>
      <c r="F226" s="148"/>
      <c r="G226" s="148"/>
      <c r="H226" s="148"/>
      <c r="AE226" s="4"/>
      <c r="AF226" s="4"/>
    </row>
    <row r="227" spans="5:32" ht="12.75">
      <c r="E227" s="148"/>
      <c r="F227" s="148"/>
      <c r="G227" s="148"/>
      <c r="H227" s="148"/>
      <c r="AE227" s="4"/>
      <c r="AF227" s="4"/>
    </row>
    <row r="228" spans="5:32" ht="12.75">
      <c r="E228" s="148"/>
      <c r="F228" s="148"/>
      <c r="G228" s="148"/>
      <c r="H228" s="148"/>
      <c r="AE228" s="4"/>
      <c r="AF228" s="4"/>
    </row>
    <row r="229" spans="5:32" ht="12.75">
      <c r="E229" s="148"/>
      <c r="F229" s="148"/>
      <c r="G229" s="148"/>
      <c r="H229" s="148"/>
      <c r="AE229" s="4"/>
      <c r="AF229" s="4"/>
    </row>
    <row r="230" spans="5:32" ht="12.75">
      <c r="E230" s="148"/>
      <c r="F230" s="148"/>
      <c r="G230" s="148"/>
      <c r="H230" s="148"/>
      <c r="AE230" s="4"/>
      <c r="AF230" s="4"/>
    </row>
    <row r="231" spans="5:32" ht="12.75">
      <c r="E231" s="148"/>
      <c r="F231" s="148"/>
      <c r="G231" s="148"/>
      <c r="H231" s="148"/>
      <c r="AE231" s="4"/>
      <c r="AF231" s="4"/>
    </row>
    <row r="232" spans="5:32" ht="12.75">
      <c r="E232" s="148"/>
      <c r="F232" s="148"/>
      <c r="G232" s="148"/>
      <c r="H232" s="148"/>
      <c r="AE232" s="4"/>
      <c r="AF232" s="4"/>
    </row>
    <row r="233" spans="5:32" ht="12.75">
      <c r="E233" s="148"/>
      <c r="F233" s="148"/>
      <c r="G233" s="148"/>
      <c r="H233" s="148"/>
      <c r="AE233" s="4"/>
      <c r="AF233" s="4"/>
    </row>
    <row r="234" spans="5:32" ht="12.75">
      <c r="E234" s="148"/>
      <c r="F234" s="148"/>
      <c r="G234" s="148"/>
      <c r="H234" s="148"/>
      <c r="AE234" s="4"/>
      <c r="AF234" s="4"/>
    </row>
    <row r="235" spans="5:32" ht="12.75">
      <c r="E235" s="148"/>
      <c r="F235" s="148"/>
      <c r="G235" s="148"/>
      <c r="H235" s="148"/>
      <c r="AE235" s="4"/>
      <c r="AF235" s="4"/>
    </row>
    <row r="236" spans="5:32" ht="12.75">
      <c r="E236" s="148"/>
      <c r="F236" s="148"/>
      <c r="G236" s="148"/>
      <c r="H236" s="148"/>
      <c r="AE236" s="4"/>
      <c r="AF236" s="4"/>
    </row>
    <row r="237" spans="5:32" ht="12.75">
      <c r="E237" s="148"/>
      <c r="F237" s="148"/>
      <c r="G237" s="148"/>
      <c r="H237" s="148"/>
      <c r="AE237" s="4"/>
      <c r="AF237" s="4"/>
    </row>
    <row r="238" spans="5:32" ht="12.75">
      <c r="E238" s="148"/>
      <c r="F238" s="148"/>
      <c r="G238" s="148"/>
      <c r="H238" s="148"/>
      <c r="AE238" s="4"/>
      <c r="AF238" s="4"/>
    </row>
    <row r="239" spans="5:32" ht="12.75">
      <c r="E239" s="148"/>
      <c r="F239" s="148"/>
      <c r="G239" s="148"/>
      <c r="H239" s="148"/>
      <c r="AE239" s="4"/>
      <c r="AF239" s="4"/>
    </row>
    <row r="240" spans="5:32" ht="12.75">
      <c r="E240" s="148"/>
      <c r="F240" s="148"/>
      <c r="G240" s="148"/>
      <c r="H240" s="148"/>
      <c r="AE240" s="4"/>
      <c r="AF240" s="4"/>
    </row>
    <row r="241" spans="5:32" ht="12.75">
      <c r="E241" s="148"/>
      <c r="F241" s="148"/>
      <c r="G241" s="148"/>
      <c r="H241" s="148"/>
      <c r="AE241" s="4"/>
      <c r="AF241" s="4"/>
    </row>
    <row r="242" spans="5:32" ht="12.75">
      <c r="E242" s="148"/>
      <c r="F242" s="148"/>
      <c r="G242" s="148"/>
      <c r="H242" s="148"/>
      <c r="AE242" s="4"/>
      <c r="AF242" s="4"/>
    </row>
    <row r="243" spans="5:32" ht="12.75">
      <c r="E243" s="148"/>
      <c r="F243" s="148"/>
      <c r="G243" s="148"/>
      <c r="H243" s="148"/>
      <c r="AE243" s="4"/>
      <c r="AF243" s="4"/>
    </row>
    <row r="244" spans="5:32" ht="12.75">
      <c r="E244" s="148"/>
      <c r="F244" s="148"/>
      <c r="G244" s="148"/>
      <c r="H244" s="148"/>
      <c r="AE244" s="4"/>
      <c r="AF244" s="4"/>
    </row>
    <row r="245" spans="5:32" ht="12.75">
      <c r="E245" s="148"/>
      <c r="F245" s="148"/>
      <c r="G245" s="148"/>
      <c r="H245" s="148"/>
      <c r="AE245" s="4"/>
      <c r="AF245" s="4"/>
    </row>
    <row r="246" spans="5:32" ht="12.75">
      <c r="E246" s="148"/>
      <c r="F246" s="148"/>
      <c r="G246" s="148"/>
      <c r="H246" s="148"/>
      <c r="AE246" s="4"/>
      <c r="AF246" s="4"/>
    </row>
    <row r="247" spans="5:32" ht="12.75">
      <c r="E247" s="148"/>
      <c r="F247" s="148"/>
      <c r="G247" s="148"/>
      <c r="H247" s="148"/>
      <c r="AE247" s="4"/>
      <c r="AF247" s="4"/>
    </row>
    <row r="248" spans="5:32" ht="12.75">
      <c r="E248" s="148"/>
      <c r="F248" s="148"/>
      <c r="G248" s="148"/>
      <c r="H248" s="148"/>
      <c r="AE248" s="4"/>
      <c r="AF248" s="4"/>
    </row>
    <row r="249" spans="5:32" ht="12.75">
      <c r="E249" s="148"/>
      <c r="F249" s="148"/>
      <c r="G249" s="148"/>
      <c r="H249" s="148"/>
      <c r="AE249" s="4"/>
      <c r="AF249" s="4"/>
    </row>
    <row r="250" spans="5:32" ht="12.75">
      <c r="E250" s="148"/>
      <c r="F250" s="148"/>
      <c r="G250" s="148"/>
      <c r="H250" s="148"/>
      <c r="AE250" s="4"/>
      <c r="AF250" s="4"/>
    </row>
    <row r="251" spans="5:32" ht="12.75">
      <c r="E251" s="148"/>
      <c r="F251" s="148"/>
      <c r="G251" s="148"/>
      <c r="H251" s="148"/>
      <c r="AE251" s="4"/>
      <c r="AF251" s="4"/>
    </row>
    <row r="252" spans="5:32" ht="12.75">
      <c r="E252" s="148"/>
      <c r="F252" s="148"/>
      <c r="G252" s="148"/>
      <c r="H252" s="148"/>
      <c r="AE252" s="4"/>
      <c r="AF252" s="4"/>
    </row>
    <row r="253" spans="5:32" ht="12.75">
      <c r="E253" s="148"/>
      <c r="F253" s="148"/>
      <c r="G253" s="148"/>
      <c r="H253" s="148"/>
      <c r="AE253" s="4"/>
      <c r="AF253" s="4"/>
    </row>
    <row r="254" spans="5:32" ht="12.75">
      <c r="E254" s="148"/>
      <c r="F254" s="148"/>
      <c r="G254" s="148"/>
      <c r="H254" s="148"/>
      <c r="AE254" s="4"/>
      <c r="AF254" s="4"/>
    </row>
    <row r="255" spans="5:32" ht="12.75">
      <c r="E255" s="148"/>
      <c r="F255" s="148"/>
      <c r="G255" s="148"/>
      <c r="H255" s="148"/>
      <c r="AE255" s="4"/>
      <c r="AF255" s="4"/>
    </row>
    <row r="256" spans="5:32" ht="12.75">
      <c r="E256" s="148"/>
      <c r="F256" s="148"/>
      <c r="G256" s="148"/>
      <c r="H256" s="148"/>
      <c r="AE256" s="4"/>
      <c r="AF256" s="4"/>
    </row>
    <row r="257" spans="5:32" ht="12.75">
      <c r="E257" s="148"/>
      <c r="F257" s="148"/>
      <c r="G257" s="148"/>
      <c r="H257" s="148"/>
      <c r="AE257" s="4"/>
      <c r="AF257" s="4"/>
    </row>
    <row r="258" spans="5:32" ht="12.75">
      <c r="E258" s="148"/>
      <c r="F258" s="148"/>
      <c r="G258" s="148"/>
      <c r="H258" s="148"/>
      <c r="AE258" s="4"/>
      <c r="AF258" s="4"/>
    </row>
    <row r="259" spans="5:32" ht="12.75">
      <c r="E259" s="148"/>
      <c r="F259" s="148"/>
      <c r="G259" s="148"/>
      <c r="H259" s="148"/>
      <c r="AE259" s="4"/>
      <c r="AF259" s="4"/>
    </row>
    <row r="260" spans="5:32" ht="12.75">
      <c r="E260" s="148"/>
      <c r="F260" s="148"/>
      <c r="G260" s="148"/>
      <c r="H260" s="148"/>
      <c r="AE260" s="4"/>
      <c r="AF260" s="4"/>
    </row>
    <row r="261" spans="5:32" ht="12.75">
      <c r="E261" s="148"/>
      <c r="F261" s="148"/>
      <c r="G261" s="148"/>
      <c r="H261" s="148"/>
      <c r="AE261" s="4"/>
      <c r="AF261" s="4"/>
    </row>
    <row r="262" spans="5:32" ht="12.75">
      <c r="E262" s="148"/>
      <c r="F262" s="148"/>
      <c r="G262" s="148"/>
      <c r="H262" s="148"/>
      <c r="AE262" s="4"/>
      <c r="AF262" s="4"/>
    </row>
    <row r="263" spans="5:32" ht="12.75">
      <c r="E263" s="148"/>
      <c r="F263" s="148"/>
      <c r="G263" s="148"/>
      <c r="H263" s="148"/>
      <c r="AE263" s="4"/>
      <c r="AF263" s="4"/>
    </row>
    <row r="264" spans="5:32" ht="12.75">
      <c r="E264" s="148"/>
      <c r="F264" s="148"/>
      <c r="G264" s="148"/>
      <c r="H264" s="148"/>
      <c r="AE264" s="4"/>
      <c r="AF264" s="4"/>
    </row>
    <row r="265" spans="5:32" ht="12.75">
      <c r="E265" s="148"/>
      <c r="F265" s="148"/>
      <c r="G265" s="148"/>
      <c r="H265" s="148"/>
      <c r="AE265" s="4"/>
      <c r="AF265" s="4"/>
    </row>
    <row r="266" spans="5:32" ht="12.75">
      <c r="E266" s="148"/>
      <c r="F266" s="148"/>
      <c r="G266" s="148"/>
      <c r="H266" s="148"/>
      <c r="AE266" s="4"/>
      <c r="AF266" s="4"/>
    </row>
    <row r="267" spans="5:32" ht="12.75">
      <c r="E267" s="148"/>
      <c r="F267" s="148"/>
      <c r="G267" s="148"/>
      <c r="H267" s="148"/>
      <c r="AE267" s="4"/>
      <c r="AF267" s="4"/>
    </row>
    <row r="268" spans="5:32" ht="12.75">
      <c r="E268" s="148"/>
      <c r="F268" s="148"/>
      <c r="G268" s="148"/>
      <c r="H268" s="148"/>
      <c r="AE268" s="4"/>
      <c r="AF268" s="4"/>
    </row>
    <row r="269" spans="5:32" ht="12.75">
      <c r="E269" s="148"/>
      <c r="F269" s="148"/>
      <c r="G269" s="148"/>
      <c r="H269" s="148"/>
      <c r="AE269" s="4"/>
      <c r="AF269" s="4"/>
    </row>
    <row r="270" spans="5:32" ht="12.75">
      <c r="E270" s="148"/>
      <c r="F270" s="148"/>
      <c r="G270" s="148"/>
      <c r="H270" s="148"/>
      <c r="AE270" s="4"/>
      <c r="AF270" s="4"/>
    </row>
    <row r="271" spans="5:32" ht="12.75">
      <c r="E271" s="148"/>
      <c r="F271" s="148"/>
      <c r="G271" s="148"/>
      <c r="H271" s="148"/>
      <c r="AE271" s="4"/>
      <c r="AF271" s="4"/>
    </row>
    <row r="272" spans="5:32" ht="12.75">
      <c r="E272" s="148"/>
      <c r="F272" s="148"/>
      <c r="G272" s="148"/>
      <c r="H272" s="148"/>
      <c r="AE272" s="4"/>
      <c r="AF272" s="4"/>
    </row>
    <row r="273" spans="5:32" ht="12.75">
      <c r="E273" s="148"/>
      <c r="F273" s="148"/>
      <c r="G273" s="148"/>
      <c r="H273" s="148"/>
      <c r="AE273" s="4"/>
      <c r="AF273" s="4"/>
    </row>
    <row r="274" spans="5:32" ht="12.75">
      <c r="E274" s="148"/>
      <c r="F274" s="148"/>
      <c r="G274" s="148"/>
      <c r="H274" s="148"/>
      <c r="AE274" s="4"/>
      <c r="AF274" s="4"/>
    </row>
    <row r="275" spans="5:32" ht="12.75">
      <c r="E275" s="148"/>
      <c r="F275" s="148"/>
      <c r="G275" s="148"/>
      <c r="H275" s="148"/>
      <c r="AE275" s="4"/>
      <c r="AF275" s="4"/>
    </row>
    <row r="276" spans="5:32" ht="12.75">
      <c r="E276" s="148"/>
      <c r="F276" s="148"/>
      <c r="G276" s="148"/>
      <c r="H276" s="148"/>
      <c r="AE276" s="4"/>
      <c r="AF276" s="4"/>
    </row>
    <row r="277" spans="5:32" ht="12.75">
      <c r="E277" s="148"/>
      <c r="F277" s="148"/>
      <c r="G277" s="148"/>
      <c r="H277" s="148"/>
      <c r="AE277" s="4"/>
      <c r="AF277" s="4"/>
    </row>
    <row r="278" spans="5:32" ht="12.75">
      <c r="E278" s="148"/>
      <c r="F278" s="148"/>
      <c r="G278" s="148"/>
      <c r="H278" s="148"/>
      <c r="AE278" s="4"/>
      <c r="AF278" s="4"/>
    </row>
    <row r="279" spans="5:32" ht="12.75">
      <c r="E279" s="148"/>
      <c r="F279" s="148"/>
      <c r="G279" s="148"/>
      <c r="H279" s="148"/>
      <c r="AE279" s="4"/>
      <c r="AF279" s="4"/>
    </row>
    <row r="280" spans="5:32" ht="12.75">
      <c r="E280" s="148"/>
      <c r="F280" s="148"/>
      <c r="G280" s="148"/>
      <c r="H280" s="148"/>
      <c r="AE280" s="4"/>
      <c r="AF280" s="4"/>
    </row>
    <row r="281" spans="5:32" ht="12.75">
      <c r="E281" s="148"/>
      <c r="F281" s="148"/>
      <c r="G281" s="148"/>
      <c r="H281" s="148"/>
      <c r="AE281" s="4"/>
      <c r="AF281" s="4"/>
    </row>
    <row r="282" spans="5:32" ht="12.75">
      <c r="E282" s="148"/>
      <c r="F282" s="148"/>
      <c r="G282" s="148"/>
      <c r="H282" s="148"/>
      <c r="AE282" s="4"/>
      <c r="AF282" s="4"/>
    </row>
    <row r="283" spans="5:32" ht="12.75">
      <c r="E283" s="148"/>
      <c r="F283" s="148"/>
      <c r="G283" s="148"/>
      <c r="H283" s="148"/>
      <c r="AE283" s="4"/>
      <c r="AF283" s="4"/>
    </row>
    <row r="284" spans="5:32" ht="12.75">
      <c r="E284" s="148"/>
      <c r="F284" s="148"/>
      <c r="G284" s="148"/>
      <c r="H284" s="148"/>
      <c r="AE284" s="4"/>
      <c r="AF284" s="4"/>
    </row>
    <row r="285" spans="5:32" ht="12.75">
      <c r="E285" s="148"/>
      <c r="F285" s="148"/>
      <c r="G285" s="148"/>
      <c r="H285" s="148"/>
      <c r="AE285" s="4"/>
      <c r="AF285" s="4"/>
    </row>
    <row r="286" spans="5:32" ht="12.75">
      <c r="E286" s="148"/>
      <c r="F286" s="148"/>
      <c r="G286" s="148"/>
      <c r="H286" s="148"/>
      <c r="AE286" s="4"/>
      <c r="AF286" s="4"/>
    </row>
    <row r="287" spans="5:32" ht="12.75">
      <c r="E287" s="148"/>
      <c r="F287" s="148"/>
      <c r="G287" s="148"/>
      <c r="H287" s="148"/>
      <c r="AE287" s="4"/>
      <c r="AF287" s="4"/>
    </row>
    <row r="288" spans="5:32" ht="12.75">
      <c r="E288" s="148"/>
      <c r="F288" s="148"/>
      <c r="G288" s="148"/>
      <c r="H288" s="148"/>
      <c r="AE288" s="4"/>
      <c r="AF288" s="4"/>
    </row>
    <row r="289" spans="5:32" ht="12.75">
      <c r="E289" s="148"/>
      <c r="F289" s="148"/>
      <c r="G289" s="148"/>
      <c r="H289" s="148"/>
      <c r="AE289" s="4"/>
      <c r="AF289" s="4"/>
    </row>
    <row r="290" spans="5:32" ht="12.75">
      <c r="E290" s="148"/>
      <c r="F290" s="148"/>
      <c r="G290" s="148"/>
      <c r="H290" s="148"/>
      <c r="AE290" s="4"/>
      <c r="AF290" s="4"/>
    </row>
    <row r="291" spans="5:32" ht="12.75">
      <c r="E291" s="148"/>
      <c r="F291" s="148"/>
      <c r="G291" s="148"/>
      <c r="H291" s="148"/>
      <c r="AE291" s="4"/>
      <c r="AF291" s="4"/>
    </row>
    <row r="292" spans="5:32" ht="12.75">
      <c r="E292" s="148"/>
      <c r="F292" s="148"/>
      <c r="G292" s="148"/>
      <c r="H292" s="148"/>
      <c r="AE292" s="4"/>
      <c r="AF292" s="4"/>
    </row>
    <row r="293" spans="5:32" ht="12.75">
      <c r="E293" s="148"/>
      <c r="F293" s="148"/>
      <c r="G293" s="148"/>
      <c r="H293" s="148"/>
      <c r="AE293" s="4"/>
      <c r="AF293" s="4"/>
    </row>
    <row r="294" spans="5:32" ht="12.75">
      <c r="E294" s="148"/>
      <c r="F294" s="148"/>
      <c r="G294" s="148"/>
      <c r="H294" s="148"/>
      <c r="AE294" s="4"/>
      <c r="AF294" s="4"/>
    </row>
    <row r="295" spans="5:32" ht="12.75">
      <c r="E295" s="148"/>
      <c r="F295" s="148"/>
      <c r="G295" s="148"/>
      <c r="H295" s="148"/>
      <c r="AE295" s="4"/>
      <c r="AF295" s="4"/>
    </row>
    <row r="296" spans="5:32" ht="12.75">
      <c r="E296" s="148"/>
      <c r="F296" s="148"/>
      <c r="G296" s="148"/>
      <c r="H296" s="148"/>
      <c r="AE296" s="4"/>
      <c r="AF296" s="4"/>
    </row>
    <row r="297" spans="5:32" ht="12.75">
      <c r="E297" s="148"/>
      <c r="F297" s="148"/>
      <c r="G297" s="148"/>
      <c r="H297" s="148"/>
      <c r="AE297" s="4"/>
      <c r="AF297" s="4"/>
    </row>
    <row r="298" spans="5:32" ht="12.75">
      <c r="E298" s="148"/>
      <c r="F298" s="148"/>
      <c r="G298" s="148"/>
      <c r="H298" s="148"/>
      <c r="AE298" s="4"/>
      <c r="AF298" s="4"/>
    </row>
    <row r="299" spans="5:32" ht="12.75">
      <c r="E299" s="148"/>
      <c r="F299" s="148"/>
      <c r="G299" s="148"/>
      <c r="H299" s="148"/>
      <c r="AE299" s="4"/>
      <c r="AF299" s="4"/>
    </row>
    <row r="300" spans="5:32" ht="12.75">
      <c r="E300" s="148"/>
      <c r="F300" s="148"/>
      <c r="G300" s="148"/>
      <c r="H300" s="148"/>
      <c r="AE300" s="4"/>
      <c r="AF300" s="4"/>
    </row>
    <row r="301" spans="5:32" ht="12.75">
      <c r="E301" s="148"/>
      <c r="F301" s="148"/>
      <c r="G301" s="148"/>
      <c r="H301" s="148"/>
      <c r="AE301" s="4"/>
      <c r="AF301" s="4"/>
    </row>
    <row r="302" spans="5:32" ht="12.75">
      <c r="E302" s="148"/>
      <c r="F302" s="148"/>
      <c r="G302" s="148"/>
      <c r="H302" s="148"/>
      <c r="AE302" s="4"/>
      <c r="AF302" s="4"/>
    </row>
    <row r="303" spans="5:32" ht="12.75">
      <c r="E303" s="148"/>
      <c r="F303" s="148"/>
      <c r="G303" s="148"/>
      <c r="H303" s="148"/>
      <c r="AE303" s="4"/>
      <c r="AF303" s="4"/>
    </row>
    <row r="304" spans="5:32" ht="12.75">
      <c r="E304" s="148"/>
      <c r="F304" s="148"/>
      <c r="G304" s="148"/>
      <c r="H304" s="148"/>
      <c r="AE304" s="4"/>
      <c r="AF304" s="4"/>
    </row>
    <row r="305" spans="5:32" ht="12.75">
      <c r="E305" s="148"/>
      <c r="F305" s="148"/>
      <c r="G305" s="148"/>
      <c r="H305" s="148"/>
      <c r="AE305" s="4"/>
      <c r="AF305" s="4"/>
    </row>
    <row r="306" spans="5:32" ht="12.75">
      <c r="E306" s="148"/>
      <c r="F306" s="148"/>
      <c r="G306" s="148"/>
      <c r="H306" s="148"/>
      <c r="AE306" s="4"/>
      <c r="AF306" s="4"/>
    </row>
    <row r="307" spans="5:32" ht="12.75">
      <c r="E307" s="148"/>
      <c r="F307" s="148"/>
      <c r="G307" s="148"/>
      <c r="H307" s="148"/>
      <c r="AE307" s="4"/>
      <c r="AF307" s="4"/>
    </row>
    <row r="308" spans="5:32" ht="12.75">
      <c r="E308" s="148"/>
      <c r="F308" s="148"/>
      <c r="G308" s="148"/>
      <c r="H308" s="148"/>
      <c r="AE308" s="4"/>
      <c r="AF308" s="4"/>
    </row>
    <row r="309" spans="5:32" ht="12.75">
      <c r="E309" s="148"/>
      <c r="F309" s="148"/>
      <c r="G309" s="148"/>
      <c r="H309" s="148"/>
      <c r="AE309" s="4"/>
      <c r="AF309" s="4"/>
    </row>
    <row r="310" spans="5:32" ht="12.75">
      <c r="E310" s="148"/>
      <c r="F310" s="148"/>
      <c r="G310" s="148"/>
      <c r="H310" s="148"/>
      <c r="AE310" s="4"/>
      <c r="AF310" s="4"/>
    </row>
    <row r="311" spans="5:32" ht="12.75">
      <c r="E311" s="148"/>
      <c r="F311" s="148"/>
      <c r="G311" s="148"/>
      <c r="H311" s="148"/>
      <c r="AE311" s="4"/>
      <c r="AF311" s="4"/>
    </row>
    <row r="312" spans="5:32" ht="12.75">
      <c r="E312" s="148"/>
      <c r="F312" s="148"/>
      <c r="G312" s="148"/>
      <c r="H312" s="148"/>
      <c r="AE312" s="4"/>
      <c r="AF312" s="4"/>
    </row>
    <row r="313" spans="5:32" ht="12.75">
      <c r="E313" s="148"/>
      <c r="F313" s="148"/>
      <c r="G313" s="148"/>
      <c r="H313" s="148"/>
      <c r="AE313" s="4"/>
      <c r="AF313" s="4"/>
    </row>
    <row r="314" spans="5:32" ht="12.75">
      <c r="E314" s="148"/>
      <c r="F314" s="148"/>
      <c r="G314" s="148"/>
      <c r="H314" s="148"/>
      <c r="AE314" s="4"/>
      <c r="AF314" s="4"/>
    </row>
    <row r="315" spans="5:32" ht="12.75">
      <c r="E315" s="148"/>
      <c r="F315" s="148"/>
      <c r="G315" s="148"/>
      <c r="H315" s="148"/>
      <c r="AE315" s="4"/>
      <c r="AF315" s="4"/>
    </row>
    <row r="316" spans="5:32" ht="12.75">
      <c r="E316" s="148"/>
      <c r="F316" s="148"/>
      <c r="G316" s="148"/>
      <c r="H316" s="148"/>
      <c r="AE316" s="4"/>
      <c r="AF316" s="4"/>
    </row>
    <row r="317" spans="5:32" ht="12.75">
      <c r="E317" s="148"/>
      <c r="F317" s="148"/>
      <c r="G317" s="148"/>
      <c r="H317" s="148"/>
      <c r="AE317" s="4"/>
      <c r="AF317" s="4"/>
    </row>
    <row r="318" spans="5:32" ht="12.75">
      <c r="E318" s="148"/>
      <c r="F318" s="148"/>
      <c r="G318" s="148"/>
      <c r="H318" s="148"/>
      <c r="AE318" s="4"/>
      <c r="AF318" s="4"/>
    </row>
    <row r="319" spans="5:32" ht="12.75">
      <c r="E319" s="148"/>
      <c r="F319" s="148"/>
      <c r="G319" s="148"/>
      <c r="H319" s="148"/>
      <c r="AE319" s="4"/>
      <c r="AF319" s="4"/>
    </row>
    <row r="320" spans="5:32" ht="12.75">
      <c r="E320" s="148"/>
      <c r="F320" s="148"/>
      <c r="G320" s="148"/>
      <c r="H320" s="148"/>
      <c r="AE320" s="4"/>
      <c r="AF320" s="4"/>
    </row>
    <row r="321" spans="5:32" ht="12.75">
      <c r="E321" s="148"/>
      <c r="F321" s="148"/>
      <c r="G321" s="148"/>
      <c r="H321" s="148"/>
      <c r="AE321" s="4"/>
      <c r="AF321" s="4"/>
    </row>
    <row r="322" spans="5:32" ht="12.75">
      <c r="E322" s="148"/>
      <c r="F322" s="148"/>
      <c r="G322" s="148"/>
      <c r="H322" s="148"/>
      <c r="AE322" s="4"/>
      <c r="AF322" s="4"/>
    </row>
    <row r="323" spans="5:32" ht="12.75">
      <c r="E323" s="148"/>
      <c r="F323" s="148"/>
      <c r="G323" s="148"/>
      <c r="H323" s="148"/>
      <c r="AE323" s="4"/>
      <c r="AF323" s="4"/>
    </row>
    <row r="324" spans="5:32" ht="12.75">
      <c r="E324" s="148"/>
      <c r="F324" s="148"/>
      <c r="G324" s="148"/>
      <c r="H324" s="148"/>
      <c r="AE324" s="4"/>
      <c r="AF324" s="4"/>
    </row>
    <row r="325" spans="5:32" ht="12.75">
      <c r="E325" s="148"/>
      <c r="F325" s="148"/>
      <c r="G325" s="148"/>
      <c r="H325" s="148"/>
      <c r="AE325" s="4"/>
      <c r="AF325" s="4"/>
    </row>
    <row r="326" spans="5:32" ht="12.75">
      <c r="E326" s="148"/>
      <c r="F326" s="148"/>
      <c r="G326" s="148"/>
      <c r="H326" s="148"/>
      <c r="AE326" s="4"/>
      <c r="AF326" s="4"/>
    </row>
    <row r="327" spans="5:32" ht="12.75">
      <c r="E327" s="148"/>
      <c r="F327" s="148"/>
      <c r="G327" s="148"/>
      <c r="H327" s="148"/>
      <c r="AE327" s="4"/>
      <c r="AF327" s="4"/>
    </row>
    <row r="328" spans="5:32" ht="12.75">
      <c r="E328" s="148"/>
      <c r="F328" s="148"/>
      <c r="G328" s="148"/>
      <c r="H328" s="148"/>
      <c r="AE328" s="4"/>
      <c r="AF328" s="4"/>
    </row>
    <row r="329" spans="5:32" ht="12.75">
      <c r="E329" s="148"/>
      <c r="F329" s="148"/>
      <c r="G329" s="148"/>
      <c r="H329" s="148"/>
      <c r="AE329" s="4"/>
      <c r="AF329" s="4"/>
    </row>
    <row r="330" spans="5:32" ht="12.75">
      <c r="E330" s="148"/>
      <c r="F330" s="148"/>
      <c r="G330" s="148"/>
      <c r="H330" s="148"/>
      <c r="AE330" s="4"/>
      <c r="AF330" s="4"/>
    </row>
    <row r="331" spans="5:32" ht="12.75">
      <c r="E331" s="148"/>
      <c r="F331" s="148"/>
      <c r="G331" s="148"/>
      <c r="H331" s="148"/>
      <c r="AE331" s="4"/>
      <c r="AF331" s="4"/>
    </row>
    <row r="332" spans="5:32" ht="12.75">
      <c r="E332" s="148"/>
      <c r="F332" s="148"/>
      <c r="G332" s="148"/>
      <c r="H332" s="148"/>
      <c r="AE332" s="4"/>
      <c r="AF332" s="4"/>
    </row>
    <row r="333" spans="5:32" ht="12.75">
      <c r="E333" s="148"/>
      <c r="F333" s="148"/>
      <c r="G333" s="148"/>
      <c r="H333" s="148"/>
      <c r="AE333" s="4"/>
      <c r="AF333" s="4"/>
    </row>
    <row r="334" spans="5:32" ht="12.75">
      <c r="E334" s="148"/>
      <c r="F334" s="148"/>
      <c r="G334" s="148"/>
      <c r="H334" s="148"/>
      <c r="AE334" s="4"/>
      <c r="AF334" s="4"/>
    </row>
    <row r="335" spans="5:32" ht="12.75">
      <c r="E335" s="148"/>
      <c r="F335" s="148"/>
      <c r="G335" s="148"/>
      <c r="H335" s="148"/>
      <c r="AE335" s="4"/>
      <c r="AF335" s="4"/>
    </row>
    <row r="336" spans="5:32" ht="12.75">
      <c r="E336" s="148"/>
      <c r="F336" s="148"/>
      <c r="G336" s="148"/>
      <c r="H336" s="148"/>
      <c r="AE336" s="4"/>
      <c r="AF336" s="4"/>
    </row>
    <row r="337" spans="5:32" ht="12.75">
      <c r="E337" s="148"/>
      <c r="F337" s="148"/>
      <c r="G337" s="148"/>
      <c r="H337" s="148"/>
      <c r="AE337" s="4"/>
      <c r="AF337" s="4"/>
    </row>
    <row r="338" spans="5:32" ht="12.75">
      <c r="E338" s="148"/>
      <c r="F338" s="148"/>
      <c r="G338" s="148"/>
      <c r="H338" s="148"/>
      <c r="AE338" s="4"/>
      <c r="AF338" s="4"/>
    </row>
    <row r="339" spans="5:32" ht="12.75">
      <c r="E339" s="148"/>
      <c r="F339" s="148"/>
      <c r="G339" s="148"/>
      <c r="H339" s="148"/>
      <c r="AE339" s="4"/>
      <c r="AF339" s="4"/>
    </row>
    <row r="340" spans="5:32" ht="12.75">
      <c r="E340" s="148"/>
      <c r="F340" s="148"/>
      <c r="G340" s="148"/>
      <c r="H340" s="148"/>
      <c r="AE340" s="4"/>
      <c r="AF340" s="4"/>
    </row>
    <row r="341" spans="5:32" ht="12.75">
      <c r="E341" s="148"/>
      <c r="F341" s="148"/>
      <c r="G341" s="148"/>
      <c r="H341" s="148"/>
      <c r="AE341" s="4"/>
      <c r="AF341" s="4"/>
    </row>
    <row r="342" spans="5:32" ht="12.75">
      <c r="E342" s="148"/>
      <c r="F342" s="148"/>
      <c r="G342" s="148"/>
      <c r="H342" s="148"/>
      <c r="AE342" s="4"/>
      <c r="AF342" s="4"/>
    </row>
    <row r="343" spans="5:32" ht="12.75">
      <c r="E343" s="148"/>
      <c r="F343" s="148"/>
      <c r="G343" s="148"/>
      <c r="H343" s="148"/>
      <c r="AE343" s="4"/>
      <c r="AF343" s="4"/>
    </row>
    <row r="344" spans="5:32" ht="12.75">
      <c r="E344" s="148"/>
      <c r="F344" s="148"/>
      <c r="G344" s="148"/>
      <c r="H344" s="148"/>
      <c r="AE344" s="4"/>
      <c r="AF344" s="4"/>
    </row>
    <row r="345" spans="5:32" ht="12.75">
      <c r="E345" s="148"/>
      <c r="F345" s="148"/>
      <c r="G345" s="148"/>
      <c r="H345" s="148"/>
      <c r="AE345" s="4"/>
      <c r="AF345" s="4"/>
    </row>
    <row r="346" spans="5:32" ht="12.75">
      <c r="E346" s="148"/>
      <c r="F346" s="148"/>
      <c r="G346" s="148"/>
      <c r="H346" s="148"/>
      <c r="AE346" s="4"/>
      <c r="AF346" s="4"/>
    </row>
    <row r="347" spans="5:32" ht="12.75">
      <c r="E347" s="148"/>
      <c r="F347" s="148"/>
      <c r="G347" s="148"/>
      <c r="H347" s="148"/>
      <c r="AE347" s="4"/>
      <c r="AF347" s="4"/>
    </row>
    <row r="348" spans="5:32" ht="12.75">
      <c r="E348" s="148"/>
      <c r="F348" s="148"/>
      <c r="G348" s="148"/>
      <c r="H348" s="148"/>
      <c r="AE348" s="4"/>
      <c r="AF348" s="4"/>
    </row>
    <row r="349" spans="5:32" ht="12.75">
      <c r="E349" s="148"/>
      <c r="F349" s="148"/>
      <c r="G349" s="148"/>
      <c r="H349" s="148"/>
      <c r="AE349" s="4"/>
      <c r="AF349" s="4"/>
    </row>
    <row r="350" spans="5:32" ht="12.75">
      <c r="E350" s="148"/>
      <c r="F350" s="148"/>
      <c r="G350" s="148"/>
      <c r="H350" s="148"/>
      <c r="AE350" s="4"/>
      <c r="AF350" s="4"/>
    </row>
    <row r="351" spans="5:32" ht="12.75">
      <c r="E351" s="148"/>
      <c r="F351" s="148"/>
      <c r="G351" s="148"/>
      <c r="H351" s="148"/>
      <c r="AE351" s="4"/>
      <c r="AF351" s="4"/>
    </row>
    <row r="352" spans="5:32" ht="12.75">
      <c r="E352" s="148"/>
      <c r="F352" s="148"/>
      <c r="G352" s="148"/>
      <c r="H352" s="148"/>
      <c r="AE352" s="4"/>
      <c r="AF352" s="4"/>
    </row>
    <row r="353" spans="5:32" ht="12.75">
      <c r="E353" s="148"/>
      <c r="F353" s="148"/>
      <c r="G353" s="148"/>
      <c r="H353" s="148"/>
      <c r="AE353" s="4"/>
      <c r="AF353" s="4"/>
    </row>
    <row r="354" spans="5:32" ht="12.75">
      <c r="E354" s="148"/>
      <c r="F354" s="148"/>
      <c r="G354" s="148"/>
      <c r="H354" s="148"/>
      <c r="AE354" s="4"/>
      <c r="AF354" s="4"/>
    </row>
    <row r="355" spans="5:32" ht="12.75">
      <c r="E355" s="148"/>
      <c r="F355" s="148"/>
      <c r="G355" s="148"/>
      <c r="H355" s="148"/>
      <c r="AE355" s="4"/>
      <c r="AF355" s="4"/>
    </row>
    <row r="356" spans="5:32" ht="12.75">
      <c r="E356" s="148"/>
      <c r="F356" s="148"/>
      <c r="G356" s="148"/>
      <c r="H356" s="148"/>
      <c r="AE356" s="4"/>
      <c r="AF356" s="4"/>
    </row>
    <row r="357" spans="5:32" ht="12.75">
      <c r="E357" s="148"/>
      <c r="F357" s="148"/>
      <c r="G357" s="148"/>
      <c r="H357" s="148"/>
      <c r="AE357" s="4"/>
      <c r="AF357" s="4"/>
    </row>
    <row r="358" spans="5:32" ht="12.75">
      <c r="E358" s="148"/>
      <c r="F358" s="148"/>
      <c r="G358" s="148"/>
      <c r="H358" s="148"/>
      <c r="AE358" s="4"/>
      <c r="AF358" s="4"/>
    </row>
    <row r="359" spans="5:32" ht="12.75">
      <c r="E359" s="148"/>
      <c r="F359" s="148"/>
      <c r="G359" s="148"/>
      <c r="H359" s="148"/>
      <c r="AE359" s="4"/>
      <c r="AF359" s="4"/>
    </row>
    <row r="360" spans="5:32" ht="12.75">
      <c r="E360" s="148"/>
      <c r="F360" s="148"/>
      <c r="G360" s="148"/>
      <c r="H360" s="148"/>
      <c r="AE360" s="4"/>
      <c r="AF360" s="4"/>
    </row>
    <row r="361" spans="5:32" ht="12.75">
      <c r="E361" s="148"/>
      <c r="F361" s="148"/>
      <c r="G361" s="148"/>
      <c r="H361" s="148"/>
      <c r="AE361" s="4"/>
      <c r="AF361" s="4"/>
    </row>
    <row r="362" spans="5:32" ht="12.75">
      <c r="E362" s="148"/>
      <c r="F362" s="148"/>
      <c r="G362" s="148"/>
      <c r="H362" s="148"/>
      <c r="AE362" s="4"/>
      <c r="AF362" s="4"/>
    </row>
    <row r="363" spans="5:32" ht="12.75">
      <c r="E363" s="148"/>
      <c r="F363" s="148"/>
      <c r="G363" s="148"/>
      <c r="H363" s="148"/>
      <c r="AE363" s="4"/>
      <c r="AF363" s="4"/>
    </row>
    <row r="364" spans="5:32" ht="12.75">
      <c r="E364" s="148"/>
      <c r="F364" s="148"/>
      <c r="G364" s="148"/>
      <c r="H364" s="148"/>
      <c r="AE364" s="4"/>
      <c r="AF364" s="4"/>
    </row>
    <row r="365" spans="5:32" ht="12.75">
      <c r="E365" s="148"/>
      <c r="F365" s="148"/>
      <c r="G365" s="148"/>
      <c r="H365" s="148"/>
      <c r="AE365" s="4"/>
      <c r="AF365" s="4"/>
    </row>
    <row r="366" spans="5:32" ht="12.75">
      <c r="E366" s="148"/>
      <c r="F366" s="148"/>
      <c r="G366" s="148"/>
      <c r="H366" s="148"/>
      <c r="AE366" s="4"/>
      <c r="AF366" s="4"/>
    </row>
    <row r="367" spans="5:32" ht="12.75">
      <c r="E367" s="148"/>
      <c r="F367" s="148"/>
      <c r="G367" s="148"/>
      <c r="H367" s="148"/>
      <c r="AE367" s="4"/>
      <c r="AF367" s="4"/>
    </row>
    <row r="368" spans="5:32" ht="12.75">
      <c r="E368" s="148"/>
      <c r="F368" s="148"/>
      <c r="G368" s="148"/>
      <c r="H368" s="148"/>
      <c r="AE368" s="4"/>
      <c r="AF368" s="4"/>
    </row>
    <row r="369" spans="5:32" ht="12.75">
      <c r="E369" s="148"/>
      <c r="F369" s="148"/>
      <c r="G369" s="148"/>
      <c r="H369" s="148"/>
      <c r="AE369" s="4"/>
      <c r="AF369" s="4"/>
    </row>
    <row r="370" spans="5:32" ht="12.75">
      <c r="E370" s="148"/>
      <c r="F370" s="148"/>
      <c r="G370" s="148"/>
      <c r="H370" s="148"/>
      <c r="AE370" s="4"/>
      <c r="AF370" s="4"/>
    </row>
    <row r="371" spans="5:32" ht="12.75">
      <c r="E371" s="148"/>
      <c r="F371" s="148"/>
      <c r="G371" s="148"/>
      <c r="H371" s="148"/>
      <c r="AE371" s="4"/>
      <c r="AF371" s="4"/>
    </row>
    <row r="372" spans="5:32" ht="12.75">
      <c r="E372" s="148"/>
      <c r="F372" s="148"/>
      <c r="G372" s="148"/>
      <c r="H372" s="148"/>
      <c r="AE372" s="4"/>
      <c r="AF372" s="4"/>
    </row>
    <row r="373" spans="5:32" ht="12.75">
      <c r="E373" s="148"/>
      <c r="F373" s="148"/>
      <c r="G373" s="148"/>
      <c r="H373" s="148"/>
      <c r="AE373" s="4"/>
      <c r="AF373" s="4"/>
    </row>
    <row r="374" spans="5:32" ht="12.75">
      <c r="E374" s="148"/>
      <c r="F374" s="148"/>
      <c r="G374" s="148"/>
      <c r="H374" s="148"/>
      <c r="AE374" s="4"/>
      <c r="AF374" s="4"/>
    </row>
    <row r="375" spans="5:32" ht="12.75">
      <c r="E375" s="148"/>
      <c r="F375" s="148"/>
      <c r="G375" s="148"/>
      <c r="H375" s="148"/>
      <c r="AE375" s="4"/>
      <c r="AF375" s="4"/>
    </row>
    <row r="376" spans="5:32" ht="12.75">
      <c r="E376" s="148"/>
      <c r="F376" s="148"/>
      <c r="G376" s="148"/>
      <c r="H376" s="148"/>
      <c r="AE376" s="4"/>
      <c r="AF376" s="4"/>
    </row>
    <row r="377" spans="5:32" ht="12.75">
      <c r="E377" s="148"/>
      <c r="F377" s="148"/>
      <c r="G377" s="148"/>
      <c r="H377" s="148"/>
      <c r="AE377" s="4"/>
      <c r="AF377" s="4"/>
    </row>
    <row r="378" spans="5:32" ht="12.75">
      <c r="E378" s="148"/>
      <c r="F378" s="148"/>
      <c r="G378" s="148"/>
      <c r="H378" s="148"/>
      <c r="AE378" s="4"/>
      <c r="AF378" s="4"/>
    </row>
    <row r="379" spans="5:32" ht="12.75">
      <c r="E379" s="148"/>
      <c r="F379" s="148"/>
      <c r="G379" s="148"/>
      <c r="H379" s="148"/>
      <c r="AE379" s="4"/>
      <c r="AF379" s="4"/>
    </row>
    <row r="380" spans="5:32" ht="12.75">
      <c r="E380" s="148"/>
      <c r="F380" s="148"/>
      <c r="G380" s="148"/>
      <c r="H380" s="148"/>
      <c r="AE380" s="4"/>
      <c r="AF380" s="4"/>
    </row>
    <row r="381" spans="5:32" ht="12.75">
      <c r="E381" s="148"/>
      <c r="F381" s="148"/>
      <c r="G381" s="148"/>
      <c r="H381" s="148"/>
      <c r="AE381" s="4"/>
      <c r="AF381" s="4"/>
    </row>
    <row r="382" spans="5:32" ht="12.75">
      <c r="E382" s="148"/>
      <c r="F382" s="148"/>
      <c r="G382" s="148"/>
      <c r="H382" s="148"/>
      <c r="AE382" s="4"/>
      <c r="AF382" s="4"/>
    </row>
    <row r="383" spans="5:32" ht="12.75">
      <c r="E383" s="148"/>
      <c r="F383" s="148"/>
      <c r="G383" s="148"/>
      <c r="H383" s="148"/>
      <c r="AE383" s="4"/>
      <c r="AF383" s="4"/>
    </row>
    <row r="384" spans="5:32" ht="12.75">
      <c r="E384" s="148"/>
      <c r="F384" s="148"/>
      <c r="G384" s="148"/>
      <c r="H384" s="148"/>
      <c r="AE384" s="4"/>
      <c r="AF384" s="4"/>
    </row>
    <row r="385" spans="5:32" ht="12.75">
      <c r="E385" s="148"/>
      <c r="F385" s="148"/>
      <c r="G385" s="148"/>
      <c r="H385" s="148"/>
      <c r="AE385" s="4"/>
      <c r="AF385" s="4"/>
    </row>
    <row r="386" spans="5:32" ht="12.75">
      <c r="E386" s="148"/>
      <c r="F386" s="148"/>
      <c r="G386" s="148"/>
      <c r="H386" s="148"/>
      <c r="AE386" s="4"/>
      <c r="AF386" s="4"/>
    </row>
    <row r="387" spans="5:32" ht="12.75">
      <c r="E387" s="148"/>
      <c r="F387" s="148"/>
      <c r="G387" s="148"/>
      <c r="H387" s="148"/>
      <c r="AE387" s="4"/>
      <c r="AF387" s="4"/>
    </row>
    <row r="388" spans="5:32" ht="12.75">
      <c r="E388" s="148"/>
      <c r="F388" s="148"/>
      <c r="G388" s="148"/>
      <c r="H388" s="148"/>
      <c r="AE388" s="4"/>
      <c r="AF388" s="4"/>
    </row>
    <row r="389" spans="5:32" ht="12.75">
      <c r="E389" s="148"/>
      <c r="F389" s="148"/>
      <c r="G389" s="148"/>
      <c r="H389" s="148"/>
      <c r="AE389" s="4"/>
      <c r="AF389" s="4"/>
    </row>
    <row r="390" spans="5:32" ht="12.75">
      <c r="E390" s="148"/>
      <c r="F390" s="148"/>
      <c r="G390" s="148"/>
      <c r="H390" s="148"/>
      <c r="AE390" s="4"/>
      <c r="AF390" s="4"/>
    </row>
    <row r="391" spans="5:32" ht="12.75">
      <c r="E391" s="148"/>
      <c r="F391" s="148"/>
      <c r="G391" s="148"/>
      <c r="H391" s="148"/>
      <c r="AE391" s="4"/>
      <c r="AF391" s="4"/>
    </row>
    <row r="392" spans="5:32" ht="12.75">
      <c r="E392" s="148"/>
      <c r="F392" s="148"/>
      <c r="G392" s="148"/>
      <c r="H392" s="148"/>
      <c r="AE392" s="4"/>
      <c r="AF392" s="4"/>
    </row>
    <row r="393" spans="5:32" ht="12.75">
      <c r="E393" s="148"/>
      <c r="F393" s="148"/>
      <c r="G393" s="148"/>
      <c r="H393" s="148"/>
      <c r="AE393" s="4"/>
      <c r="AF393" s="4"/>
    </row>
    <row r="394" spans="5:32" ht="12.75">
      <c r="E394" s="148"/>
      <c r="F394" s="148"/>
      <c r="G394" s="148"/>
      <c r="H394" s="148"/>
      <c r="AE394" s="4"/>
      <c r="AF394" s="4"/>
    </row>
    <row r="395" spans="5:32" ht="12.75">
      <c r="E395" s="148"/>
      <c r="F395" s="148"/>
      <c r="G395" s="148"/>
      <c r="H395" s="148"/>
      <c r="AE395" s="4"/>
      <c r="AF395" s="4"/>
    </row>
    <row r="396" spans="5:32" ht="12.75">
      <c r="E396" s="148"/>
      <c r="F396" s="148"/>
      <c r="G396" s="148"/>
      <c r="H396" s="148"/>
      <c r="AE396" s="4"/>
      <c r="AF396" s="4"/>
    </row>
    <row r="397" spans="5:32" ht="12.75">
      <c r="E397" s="148"/>
      <c r="F397" s="148"/>
      <c r="G397" s="148"/>
      <c r="H397" s="148"/>
      <c r="AE397" s="4"/>
      <c r="AF397" s="4"/>
    </row>
    <row r="398" spans="5:32" ht="12.75">
      <c r="E398" s="148"/>
      <c r="F398" s="148"/>
      <c r="G398" s="148"/>
      <c r="H398" s="148"/>
      <c r="AE398" s="4"/>
      <c r="AF398" s="4"/>
    </row>
    <row r="399" spans="5:32" ht="12.75">
      <c r="E399" s="148"/>
      <c r="F399" s="148"/>
      <c r="G399" s="148"/>
      <c r="H399" s="148"/>
      <c r="AE399" s="4"/>
      <c r="AF399" s="4"/>
    </row>
    <row r="400" spans="5:32" ht="12.75">
      <c r="E400" s="148"/>
      <c r="F400" s="148"/>
      <c r="G400" s="148"/>
      <c r="H400" s="148"/>
      <c r="AE400" s="4"/>
      <c r="AF400" s="4"/>
    </row>
    <row r="401" spans="5:32" ht="12.75">
      <c r="E401" s="148"/>
      <c r="F401" s="148"/>
      <c r="G401" s="148"/>
      <c r="H401" s="148"/>
      <c r="AE401" s="4"/>
      <c r="AF401" s="4"/>
    </row>
    <row r="402" spans="5:32" ht="12.75">
      <c r="E402" s="148"/>
      <c r="F402" s="148"/>
      <c r="G402" s="148"/>
      <c r="H402" s="148"/>
      <c r="AE402" s="4"/>
      <c r="AF402" s="4"/>
    </row>
    <row r="403" spans="5:32" ht="12.75">
      <c r="E403" s="148"/>
      <c r="F403" s="148"/>
      <c r="G403" s="148"/>
      <c r="H403" s="148"/>
      <c r="AE403" s="4"/>
      <c r="AF403" s="4"/>
    </row>
    <row r="404" spans="5:32" ht="12.75">
      <c r="E404" s="148"/>
      <c r="F404" s="148"/>
      <c r="G404" s="148"/>
      <c r="H404" s="148"/>
      <c r="AE404" s="4"/>
      <c r="AF404" s="4"/>
    </row>
    <row r="405" spans="5:32" ht="12.75">
      <c r="E405" s="148"/>
      <c r="F405" s="148"/>
      <c r="G405" s="148"/>
      <c r="H405" s="148"/>
      <c r="AE405" s="4"/>
      <c r="AF405" s="4"/>
    </row>
    <row r="406" spans="5:32" ht="12.75">
      <c r="E406" s="148"/>
      <c r="F406" s="148"/>
      <c r="G406" s="148"/>
      <c r="H406" s="148"/>
      <c r="AE406" s="4"/>
      <c r="AF406" s="4"/>
    </row>
    <row r="407" spans="5:32" ht="12.75">
      <c r="E407" s="148"/>
      <c r="F407" s="148"/>
      <c r="G407" s="148"/>
      <c r="H407" s="148"/>
      <c r="AE407" s="4"/>
      <c r="AF407" s="4"/>
    </row>
    <row r="408" spans="5:32" ht="12.75">
      <c r="E408" s="148"/>
      <c r="F408" s="148"/>
      <c r="G408" s="148"/>
      <c r="H408" s="148"/>
      <c r="AE408" s="4"/>
      <c r="AF408" s="4"/>
    </row>
    <row r="409" spans="5:32" ht="12.75">
      <c r="E409" s="148"/>
      <c r="F409" s="148"/>
      <c r="G409" s="148"/>
      <c r="H409" s="148"/>
      <c r="AE409" s="4"/>
      <c r="AF409" s="4"/>
    </row>
    <row r="410" spans="5:32" ht="12.75">
      <c r="E410" s="148"/>
      <c r="F410" s="148"/>
      <c r="G410" s="148"/>
      <c r="H410" s="148"/>
      <c r="AE410" s="4"/>
      <c r="AF410" s="4"/>
    </row>
    <row r="411" spans="5:32" ht="12.75">
      <c r="E411" s="148"/>
      <c r="F411" s="148"/>
      <c r="G411" s="148"/>
      <c r="H411" s="148"/>
      <c r="AE411" s="4"/>
      <c r="AF411" s="4"/>
    </row>
    <row r="412" spans="5:32" ht="12.75">
      <c r="E412" s="148"/>
      <c r="F412" s="148"/>
      <c r="G412" s="148"/>
      <c r="H412" s="148"/>
      <c r="AE412" s="4"/>
      <c r="AF412" s="4"/>
    </row>
    <row r="413" spans="5:32" ht="12.75">
      <c r="E413" s="148"/>
      <c r="F413" s="148"/>
      <c r="G413" s="148"/>
      <c r="H413" s="148"/>
      <c r="AE413" s="4"/>
      <c r="AF413" s="4"/>
    </row>
    <row r="414" spans="5:32" ht="12.75">
      <c r="E414" s="148"/>
      <c r="F414" s="148"/>
      <c r="G414" s="148"/>
      <c r="H414" s="148"/>
      <c r="AE414" s="4"/>
      <c r="AF414" s="4"/>
    </row>
    <row r="415" spans="5:32" ht="12.75">
      <c r="E415" s="148"/>
      <c r="F415" s="148"/>
      <c r="G415" s="148"/>
      <c r="H415" s="148"/>
      <c r="AE415" s="4"/>
      <c r="AF415" s="4"/>
    </row>
    <row r="416" spans="5:32" ht="12.75">
      <c r="E416" s="148"/>
      <c r="F416" s="148"/>
      <c r="G416" s="148"/>
      <c r="H416" s="148"/>
      <c r="AE416" s="4"/>
      <c r="AF416" s="4"/>
    </row>
    <row r="417" spans="5:32" ht="12.75">
      <c r="E417" s="148"/>
      <c r="F417" s="148"/>
      <c r="G417" s="148"/>
      <c r="H417" s="148"/>
      <c r="AE417" s="4"/>
      <c r="AF417" s="4"/>
    </row>
    <row r="418" spans="5:32" ht="12.75">
      <c r="E418" s="148"/>
      <c r="F418" s="148"/>
      <c r="G418" s="148"/>
      <c r="H418" s="148"/>
      <c r="AE418" s="4"/>
      <c r="AF418" s="4"/>
    </row>
    <row r="419" spans="5:32" ht="12.75">
      <c r="E419" s="148"/>
      <c r="F419" s="148"/>
      <c r="G419" s="148"/>
      <c r="H419" s="148"/>
      <c r="AE419" s="4"/>
      <c r="AF419" s="4"/>
    </row>
    <row r="420" spans="5:32" ht="12.75">
      <c r="E420" s="148"/>
      <c r="F420" s="148"/>
      <c r="G420" s="148"/>
      <c r="H420" s="148"/>
      <c r="AE420" s="4"/>
      <c r="AF420" s="4"/>
    </row>
    <row r="421" spans="5:32" ht="12.75">
      <c r="E421" s="148"/>
      <c r="F421" s="148"/>
      <c r="G421" s="148"/>
      <c r="H421" s="148"/>
      <c r="AE421" s="4"/>
      <c r="AF421" s="4"/>
    </row>
    <row r="422" spans="5:32" ht="12.75">
      <c r="E422" s="148"/>
      <c r="F422" s="148"/>
      <c r="G422" s="148"/>
      <c r="H422" s="148"/>
      <c r="AE422" s="4"/>
      <c r="AF422" s="4"/>
    </row>
    <row r="423" spans="5:32" ht="12.75">
      <c r="E423" s="148"/>
      <c r="F423" s="148"/>
      <c r="G423" s="148"/>
      <c r="H423" s="148"/>
      <c r="AE423" s="4"/>
      <c r="AF423" s="4"/>
    </row>
    <row r="424" spans="5:32" ht="12.75">
      <c r="E424" s="148"/>
      <c r="F424" s="148"/>
      <c r="G424" s="148"/>
      <c r="H424" s="148"/>
      <c r="AE424" s="4"/>
      <c r="AF424" s="4"/>
    </row>
    <row r="425" spans="5:32" ht="12.75">
      <c r="E425" s="148"/>
      <c r="F425" s="148"/>
      <c r="G425" s="148"/>
      <c r="H425" s="148"/>
      <c r="AE425" s="4"/>
      <c r="AF425" s="4"/>
    </row>
    <row r="426" spans="5:32" ht="12.75">
      <c r="E426" s="148"/>
      <c r="F426" s="148"/>
      <c r="G426" s="148"/>
      <c r="H426" s="148"/>
      <c r="AE426" s="4"/>
      <c r="AF426" s="4"/>
    </row>
    <row r="427" spans="5:32" ht="12.75">
      <c r="E427" s="148"/>
      <c r="F427" s="148"/>
      <c r="G427" s="148"/>
      <c r="H427" s="148"/>
      <c r="AE427" s="4"/>
      <c r="AF427" s="4"/>
    </row>
    <row r="428" spans="5:32" ht="12.75">
      <c r="E428" s="148"/>
      <c r="F428" s="148"/>
      <c r="G428" s="148"/>
      <c r="H428" s="148"/>
      <c r="AE428" s="4"/>
      <c r="AF428" s="4"/>
    </row>
    <row r="429" spans="5:32" ht="12.75">
      <c r="E429" s="148"/>
      <c r="F429" s="148"/>
      <c r="G429" s="148"/>
      <c r="H429" s="148"/>
      <c r="AE429" s="4"/>
      <c r="AF429" s="4"/>
    </row>
    <row r="430" spans="5:32" ht="12.75">
      <c r="E430" s="148"/>
      <c r="F430" s="148"/>
      <c r="G430" s="148"/>
      <c r="H430" s="148"/>
      <c r="AE430" s="4"/>
      <c r="AF430" s="4"/>
    </row>
    <row r="431" spans="5:32" ht="12.75">
      <c r="E431" s="148"/>
      <c r="F431" s="148"/>
      <c r="G431" s="148"/>
      <c r="H431" s="148"/>
      <c r="AE431" s="4"/>
      <c r="AF431" s="4"/>
    </row>
    <row r="432" spans="5:32" ht="12.75">
      <c r="E432" s="148"/>
      <c r="F432" s="148"/>
      <c r="G432" s="148"/>
      <c r="H432" s="148"/>
      <c r="AE432" s="4"/>
      <c r="AF432" s="4"/>
    </row>
    <row r="433" spans="5:32" ht="12.75">
      <c r="E433" s="148"/>
      <c r="F433" s="148"/>
      <c r="G433" s="148"/>
      <c r="H433" s="148"/>
      <c r="AE433" s="4"/>
      <c r="AF433" s="4"/>
    </row>
    <row r="434" spans="5:32" ht="12.75">
      <c r="E434" s="148"/>
      <c r="F434" s="148"/>
      <c r="G434" s="148"/>
      <c r="H434" s="148"/>
      <c r="AE434" s="4"/>
      <c r="AF434" s="4"/>
    </row>
    <row r="435" spans="5:32" ht="12.75">
      <c r="E435" s="148"/>
      <c r="F435" s="148"/>
      <c r="G435" s="148"/>
      <c r="H435" s="148"/>
      <c r="AE435" s="4"/>
      <c r="AF435" s="4"/>
    </row>
    <row r="436" spans="5:32" ht="12.75">
      <c r="E436" s="148"/>
      <c r="F436" s="148"/>
      <c r="G436" s="148"/>
      <c r="H436" s="148"/>
      <c r="AE436" s="4"/>
      <c r="AF436" s="4"/>
    </row>
    <row r="437" spans="5:32" ht="12.75">
      <c r="E437" s="148"/>
      <c r="F437" s="148"/>
      <c r="G437" s="148"/>
      <c r="H437" s="148"/>
      <c r="AE437" s="4"/>
      <c r="AF437" s="4"/>
    </row>
    <row r="438" spans="5:32" ht="12.75">
      <c r="E438" s="148"/>
      <c r="F438" s="148"/>
      <c r="G438" s="148"/>
      <c r="H438" s="148"/>
      <c r="AE438" s="4"/>
      <c r="AF438" s="4"/>
    </row>
    <row r="439" spans="5:32" ht="12.75">
      <c r="E439" s="148"/>
      <c r="F439" s="148"/>
      <c r="G439" s="148"/>
      <c r="H439" s="148"/>
      <c r="AE439" s="4"/>
      <c r="AF439" s="4"/>
    </row>
    <row r="440" spans="5:32" ht="12.75">
      <c r="E440" s="148"/>
      <c r="F440" s="148"/>
      <c r="G440" s="148"/>
      <c r="H440" s="148"/>
      <c r="AE440" s="4"/>
      <c r="AF440" s="4"/>
    </row>
    <row r="441" spans="5:32" ht="12.75">
      <c r="E441" s="148"/>
      <c r="F441" s="148"/>
      <c r="G441" s="148"/>
      <c r="H441" s="148"/>
      <c r="AE441" s="4"/>
      <c r="AF441" s="4"/>
    </row>
    <row r="442" spans="5:32" ht="12.75">
      <c r="E442" s="148"/>
      <c r="F442" s="148"/>
      <c r="G442" s="148"/>
      <c r="H442" s="148"/>
      <c r="AE442" s="4"/>
      <c r="AF442" s="4"/>
    </row>
    <row r="443" spans="5:32" ht="12.75">
      <c r="E443" s="148"/>
      <c r="F443" s="148"/>
      <c r="G443" s="148"/>
      <c r="H443" s="148"/>
      <c r="AE443" s="4"/>
      <c r="AF443" s="4"/>
    </row>
    <row r="444" spans="5:32" ht="12.75">
      <c r="E444" s="148"/>
      <c r="F444" s="148"/>
      <c r="G444" s="148"/>
      <c r="H444" s="148"/>
      <c r="AE444" s="4"/>
      <c r="AF444" s="4"/>
    </row>
    <row r="445" spans="5:32" ht="12.75">
      <c r="E445" s="148"/>
      <c r="F445" s="148"/>
      <c r="G445" s="148"/>
      <c r="H445" s="148"/>
      <c r="AE445" s="4"/>
      <c r="AF445" s="4"/>
    </row>
    <row r="446" spans="5:32" ht="12.75">
      <c r="E446" s="148"/>
      <c r="F446" s="148"/>
      <c r="G446" s="148"/>
      <c r="H446" s="148"/>
      <c r="AE446" s="4"/>
      <c r="AF446" s="4"/>
    </row>
    <row r="447" spans="5:32" ht="12.75">
      <c r="E447" s="148"/>
      <c r="F447" s="148"/>
      <c r="G447" s="148"/>
      <c r="H447" s="148"/>
      <c r="AE447" s="4"/>
      <c r="AF447" s="4"/>
    </row>
    <row r="448" spans="5:32" ht="12.75">
      <c r="E448" s="148"/>
      <c r="F448" s="148"/>
      <c r="G448" s="148"/>
      <c r="H448" s="148"/>
      <c r="AE448" s="4"/>
      <c r="AF448" s="4"/>
    </row>
    <row r="449" spans="5:32" ht="12.75">
      <c r="E449" s="148"/>
      <c r="F449" s="148"/>
      <c r="G449" s="148"/>
      <c r="H449" s="148"/>
      <c r="AE449" s="4"/>
      <c r="AF449" s="4"/>
    </row>
    <row r="450" spans="5:32" ht="12.75">
      <c r="E450" s="148"/>
      <c r="F450" s="148"/>
      <c r="G450" s="148"/>
      <c r="H450" s="148"/>
      <c r="AE450" s="4"/>
      <c r="AF450" s="4"/>
    </row>
    <row r="451" spans="5:32" ht="12.75">
      <c r="E451" s="148"/>
      <c r="F451" s="148"/>
      <c r="G451" s="148"/>
      <c r="H451" s="148"/>
      <c r="AE451" s="4"/>
      <c r="AF451" s="4"/>
    </row>
    <row r="452" spans="5:32" ht="12.75">
      <c r="E452" s="148"/>
      <c r="F452" s="148"/>
      <c r="G452" s="148"/>
      <c r="H452" s="148"/>
      <c r="AE452" s="4"/>
      <c r="AF452" s="4"/>
    </row>
    <row r="453" spans="5:32" ht="12.75">
      <c r="E453" s="148"/>
      <c r="F453" s="148"/>
      <c r="G453" s="148"/>
      <c r="H453" s="148"/>
      <c r="AE453" s="4"/>
      <c r="AF453" s="4"/>
    </row>
    <row r="454" spans="5:32" ht="12.75">
      <c r="E454" s="148"/>
      <c r="F454" s="148"/>
      <c r="G454" s="148"/>
      <c r="H454" s="148"/>
      <c r="AE454" s="4"/>
      <c r="AF454" s="4"/>
    </row>
    <row r="455" spans="5:32" ht="12.75">
      <c r="E455" s="148"/>
      <c r="F455" s="148"/>
      <c r="G455" s="148"/>
      <c r="H455" s="148"/>
      <c r="AE455" s="4"/>
      <c r="AF455" s="4"/>
    </row>
    <row r="456" spans="5:32" ht="12.75">
      <c r="E456" s="148"/>
      <c r="F456" s="148"/>
      <c r="G456" s="148"/>
      <c r="H456" s="148"/>
      <c r="AE456" s="4"/>
      <c r="AF456" s="4"/>
    </row>
    <row r="457" spans="5:32" ht="12.75">
      <c r="E457" s="148"/>
      <c r="F457" s="148"/>
      <c r="G457" s="148"/>
      <c r="H457" s="148"/>
      <c r="AE457" s="4"/>
      <c r="AF457" s="4"/>
    </row>
    <row r="458" spans="5:32" ht="12.75">
      <c r="E458" s="148"/>
      <c r="F458" s="148"/>
      <c r="G458" s="148"/>
      <c r="H458" s="148"/>
      <c r="AE458" s="4"/>
      <c r="AF458" s="4"/>
    </row>
    <row r="459" spans="5:32" ht="12.75">
      <c r="E459" s="148"/>
      <c r="F459" s="148"/>
      <c r="G459" s="148"/>
      <c r="H459" s="148"/>
      <c r="AE459" s="4"/>
      <c r="AF459" s="4"/>
    </row>
    <row r="460" spans="5:32" ht="12.75">
      <c r="E460" s="148"/>
      <c r="F460" s="148"/>
      <c r="G460" s="148"/>
      <c r="H460" s="148"/>
      <c r="AE460" s="4"/>
      <c r="AF460" s="4"/>
    </row>
    <row r="461" spans="5:32" ht="12.75">
      <c r="E461" s="148"/>
      <c r="F461" s="148"/>
      <c r="G461" s="148"/>
      <c r="H461" s="148"/>
      <c r="AE461" s="4"/>
      <c r="AF461" s="4"/>
    </row>
    <row r="462" spans="5:32" ht="12.75">
      <c r="E462" s="148"/>
      <c r="F462" s="148"/>
      <c r="G462" s="148"/>
      <c r="H462" s="148"/>
      <c r="AE462" s="4"/>
      <c r="AF462" s="4"/>
    </row>
    <row r="463" spans="5:32" ht="12.75">
      <c r="E463" s="148"/>
      <c r="F463" s="148"/>
      <c r="G463" s="148"/>
      <c r="H463" s="148"/>
      <c r="AE463" s="4"/>
      <c r="AF463" s="4"/>
    </row>
    <row r="464" spans="5:32" ht="12.75">
      <c r="E464" s="148"/>
      <c r="F464" s="148"/>
      <c r="G464" s="148"/>
      <c r="H464" s="148"/>
      <c r="AE464" s="4"/>
      <c r="AF464" s="4"/>
    </row>
    <row r="465" spans="5:32" ht="12.75">
      <c r="E465" s="148"/>
      <c r="F465" s="148"/>
      <c r="G465" s="148"/>
      <c r="H465" s="148"/>
      <c r="AE465" s="4"/>
      <c r="AF465" s="4"/>
    </row>
    <row r="466" spans="5:32" ht="12.75">
      <c r="E466" s="148"/>
      <c r="F466" s="148"/>
      <c r="G466" s="148"/>
      <c r="H466" s="148"/>
      <c r="AE466" s="4"/>
      <c r="AF466" s="4"/>
    </row>
    <row r="467" spans="5:32" ht="12.75">
      <c r="E467" s="148"/>
      <c r="F467" s="148"/>
      <c r="G467" s="148"/>
      <c r="H467" s="148"/>
      <c r="AE467" s="4"/>
      <c r="AF467" s="4"/>
    </row>
    <row r="468" spans="5:32" ht="12.75">
      <c r="E468" s="148"/>
      <c r="F468" s="148"/>
      <c r="G468" s="148"/>
      <c r="H468" s="148"/>
      <c r="AE468" s="4"/>
      <c r="AF468" s="4"/>
    </row>
    <row r="469" spans="5:32" ht="12.75">
      <c r="E469" s="148"/>
      <c r="F469" s="148"/>
      <c r="G469" s="148"/>
      <c r="H469" s="148"/>
      <c r="AE469" s="4"/>
      <c r="AF469" s="4"/>
    </row>
    <row r="470" spans="5:32" ht="12.75">
      <c r="E470" s="148"/>
      <c r="F470" s="148"/>
      <c r="G470" s="148"/>
      <c r="H470" s="148"/>
      <c r="AE470" s="4"/>
      <c r="AF470" s="4"/>
    </row>
    <row r="471" spans="5:32" ht="12.75">
      <c r="E471" s="148"/>
      <c r="F471" s="148"/>
      <c r="G471" s="148"/>
      <c r="H471" s="148"/>
      <c r="AE471" s="4"/>
      <c r="AF471" s="4"/>
    </row>
    <row r="472" spans="5:32" ht="12.75">
      <c r="E472" s="148"/>
      <c r="F472" s="148"/>
      <c r="G472" s="148"/>
      <c r="H472" s="148"/>
      <c r="AE472" s="4"/>
      <c r="AF472" s="4"/>
    </row>
    <row r="473" spans="5:32" ht="12.75">
      <c r="E473" s="148"/>
      <c r="F473" s="148"/>
      <c r="G473" s="148"/>
      <c r="H473" s="148"/>
      <c r="AE473" s="4"/>
      <c r="AF473" s="4"/>
    </row>
    <row r="474" spans="5:32" ht="12.75">
      <c r="E474" s="148"/>
      <c r="F474" s="148"/>
      <c r="G474" s="148"/>
      <c r="H474" s="148"/>
      <c r="AE474" s="4"/>
      <c r="AF474" s="4"/>
    </row>
    <row r="475" spans="5:32" ht="12.75">
      <c r="E475" s="148"/>
      <c r="F475" s="148"/>
      <c r="G475" s="148"/>
      <c r="H475" s="148"/>
      <c r="AE475" s="4"/>
      <c r="AF475" s="4"/>
    </row>
    <row r="476" spans="5:32" ht="12.75">
      <c r="E476" s="148"/>
      <c r="F476" s="148"/>
      <c r="G476" s="148"/>
      <c r="H476" s="148"/>
      <c r="AE476" s="4"/>
      <c r="AF476" s="4"/>
    </row>
    <row r="477" spans="5:32" ht="12.75">
      <c r="E477" s="148"/>
      <c r="F477" s="148"/>
      <c r="G477" s="148"/>
      <c r="H477" s="148"/>
      <c r="AE477" s="4"/>
      <c r="AF477" s="4"/>
    </row>
    <row r="478" spans="5:32" ht="12.75">
      <c r="E478" s="148"/>
      <c r="F478" s="148"/>
      <c r="G478" s="148"/>
      <c r="H478" s="148"/>
      <c r="AE478" s="4"/>
      <c r="AF478" s="4"/>
    </row>
    <row r="479" spans="5:32" ht="12.75">
      <c r="E479" s="148"/>
      <c r="F479" s="148"/>
      <c r="G479" s="148"/>
      <c r="H479" s="148"/>
      <c r="AE479" s="4"/>
      <c r="AF479" s="4"/>
    </row>
    <row r="480" spans="5:32" ht="12.75">
      <c r="E480" s="148"/>
      <c r="F480" s="148"/>
      <c r="G480" s="148"/>
      <c r="H480" s="148"/>
      <c r="AE480" s="4"/>
      <c r="AF480" s="4"/>
    </row>
    <row r="481" spans="5:32" ht="12.75">
      <c r="E481" s="148"/>
      <c r="F481" s="148"/>
      <c r="G481" s="148"/>
      <c r="H481" s="148"/>
      <c r="AE481" s="4"/>
      <c r="AF481" s="4"/>
    </row>
    <row r="482" spans="5:32" ht="12.75">
      <c r="E482" s="148"/>
      <c r="F482" s="148"/>
      <c r="G482" s="148"/>
      <c r="H482" s="148"/>
      <c r="AE482" s="4"/>
      <c r="AF482" s="4"/>
    </row>
    <row r="483" spans="5:32" ht="12.75">
      <c r="E483" s="148"/>
      <c r="F483" s="148"/>
      <c r="G483" s="148"/>
      <c r="H483" s="148"/>
      <c r="AE483" s="4"/>
      <c r="AF483" s="4"/>
    </row>
    <row r="484" spans="5:32" ht="12.75">
      <c r="E484" s="148"/>
      <c r="F484" s="148"/>
      <c r="G484" s="148"/>
      <c r="H484" s="148"/>
      <c r="AE484" s="4"/>
      <c r="AF484" s="4"/>
    </row>
    <row r="485" spans="5:32" ht="12.75">
      <c r="E485" s="148"/>
      <c r="F485" s="148"/>
      <c r="G485" s="148"/>
      <c r="H485" s="148"/>
      <c r="AE485" s="4"/>
      <c r="AF485" s="4"/>
    </row>
    <row r="486" spans="5:32" ht="12.75">
      <c r="E486" s="148"/>
      <c r="F486" s="148"/>
      <c r="G486" s="148"/>
      <c r="H486" s="148"/>
      <c r="AE486" s="4"/>
      <c r="AF486" s="4"/>
    </row>
    <row r="487" spans="5:32" ht="12.75">
      <c r="E487" s="148"/>
      <c r="F487" s="148"/>
      <c r="G487" s="148"/>
      <c r="H487" s="148"/>
      <c r="AE487" s="4"/>
      <c r="AF487" s="4"/>
    </row>
    <row r="488" spans="5:32" ht="12.75">
      <c r="E488" s="148"/>
      <c r="F488" s="148"/>
      <c r="G488" s="148"/>
      <c r="H488" s="148"/>
      <c r="AE488" s="4"/>
      <c r="AF488" s="4"/>
    </row>
    <row r="489" spans="5:32" ht="12.75">
      <c r="E489" s="148"/>
      <c r="F489" s="148"/>
      <c r="G489" s="148"/>
      <c r="H489" s="148"/>
      <c r="AE489" s="4"/>
      <c r="AF489" s="4"/>
    </row>
    <row r="490" spans="5:32" ht="12.75">
      <c r="E490" s="148"/>
      <c r="F490" s="148"/>
      <c r="G490" s="148"/>
      <c r="H490" s="148"/>
      <c r="AE490" s="4"/>
      <c r="AF490" s="4"/>
    </row>
    <row r="491" spans="5:32" ht="12.75">
      <c r="E491" s="148"/>
      <c r="F491" s="148"/>
      <c r="G491" s="148"/>
      <c r="H491" s="148"/>
      <c r="AE491" s="4"/>
      <c r="AF491" s="4"/>
    </row>
    <row r="492" spans="5:32" ht="12.75">
      <c r="E492" s="148"/>
      <c r="F492" s="148"/>
      <c r="G492" s="148"/>
      <c r="H492" s="148"/>
      <c r="AE492" s="4"/>
      <c r="AF492" s="4"/>
    </row>
    <row r="493" spans="5:32" ht="12.75">
      <c r="E493" s="148"/>
      <c r="F493" s="148"/>
      <c r="G493" s="148"/>
      <c r="H493" s="148"/>
      <c r="AE493" s="4"/>
      <c r="AF493" s="4"/>
    </row>
    <row r="494" spans="5:32" ht="12.75">
      <c r="E494" s="148"/>
      <c r="F494" s="148"/>
      <c r="G494" s="148"/>
      <c r="H494" s="148"/>
      <c r="AE494" s="4"/>
      <c r="AF494" s="4"/>
    </row>
    <row r="495" spans="5:32" ht="12.75">
      <c r="E495" s="148"/>
      <c r="F495" s="148"/>
      <c r="G495" s="148"/>
      <c r="H495" s="148"/>
      <c r="AE495" s="4"/>
      <c r="AF495" s="4"/>
    </row>
    <row r="496" spans="5:32" ht="12.75">
      <c r="E496" s="148"/>
      <c r="F496" s="148"/>
      <c r="G496" s="148"/>
      <c r="H496" s="148"/>
      <c r="AE496" s="4"/>
      <c r="AF496" s="4"/>
    </row>
    <row r="497" spans="5:32" ht="12.75">
      <c r="E497" s="148"/>
      <c r="F497" s="148"/>
      <c r="G497" s="148"/>
      <c r="H497" s="148"/>
      <c r="AE497" s="4"/>
      <c r="AF497" s="4"/>
    </row>
    <row r="498" spans="5:32" ht="12.75">
      <c r="E498" s="148"/>
      <c r="F498" s="148"/>
      <c r="G498" s="148"/>
      <c r="H498" s="148"/>
      <c r="AE498" s="4"/>
      <c r="AF498" s="4"/>
    </row>
    <row r="499" spans="5:32" ht="12.75">
      <c r="E499" s="148"/>
      <c r="F499" s="148"/>
      <c r="G499" s="148"/>
      <c r="H499" s="148"/>
      <c r="AE499" s="4"/>
      <c r="AF499" s="4"/>
    </row>
    <row r="500" spans="5:32" ht="12.75">
      <c r="E500" s="148"/>
      <c r="F500" s="148"/>
      <c r="G500" s="148"/>
      <c r="H500" s="148"/>
      <c r="AE500" s="4"/>
      <c r="AF500" s="4"/>
    </row>
    <row r="501" spans="5:32" ht="12.75">
      <c r="E501" s="148"/>
      <c r="F501" s="148"/>
      <c r="G501" s="148"/>
      <c r="H501" s="148"/>
      <c r="AE501" s="4"/>
      <c r="AF501" s="4"/>
    </row>
    <row r="502" spans="5:32" ht="12.75">
      <c r="E502" s="148"/>
      <c r="F502" s="148"/>
      <c r="G502" s="148"/>
      <c r="H502" s="148"/>
      <c r="AE502" s="4"/>
      <c r="AF502" s="4"/>
    </row>
    <row r="503" spans="5:32" ht="12.75">
      <c r="E503" s="148"/>
      <c r="F503" s="148"/>
      <c r="G503" s="148"/>
      <c r="H503" s="148"/>
      <c r="AE503" s="4"/>
      <c r="AF503" s="4"/>
    </row>
    <row r="504" spans="5:32" ht="12.75">
      <c r="E504" s="148"/>
      <c r="F504" s="148"/>
      <c r="G504" s="148"/>
      <c r="H504" s="148"/>
      <c r="AE504" s="4"/>
      <c r="AF504" s="4"/>
    </row>
    <row r="505" spans="5:32" ht="12.75">
      <c r="E505" s="148"/>
      <c r="F505" s="148"/>
      <c r="G505" s="148"/>
      <c r="H505" s="148"/>
      <c r="AE505" s="4"/>
      <c r="AF505" s="4"/>
    </row>
    <row r="506" spans="5:32" ht="12.75">
      <c r="E506" s="148"/>
      <c r="F506" s="148"/>
      <c r="G506" s="148"/>
      <c r="H506" s="148"/>
      <c r="AE506" s="4"/>
      <c r="AF506" s="4"/>
    </row>
    <row r="507" spans="5:32" ht="12.75">
      <c r="E507" s="148"/>
      <c r="F507" s="148"/>
      <c r="G507" s="148"/>
      <c r="H507" s="148"/>
      <c r="AE507" s="4"/>
      <c r="AF507" s="4"/>
    </row>
    <row r="508" spans="5:32" ht="12.75">
      <c r="E508" s="148"/>
      <c r="F508" s="148"/>
      <c r="G508" s="148"/>
      <c r="H508" s="148"/>
      <c r="AE508" s="4"/>
      <c r="AF508" s="4"/>
    </row>
    <row r="509" spans="5:32" ht="12.75">
      <c r="E509" s="148"/>
      <c r="F509" s="148"/>
      <c r="G509" s="148"/>
      <c r="H509" s="148"/>
      <c r="AE509" s="4"/>
      <c r="AF509" s="4"/>
    </row>
    <row r="510" spans="5:32" ht="12.75">
      <c r="E510" s="148"/>
      <c r="F510" s="148"/>
      <c r="G510" s="148"/>
      <c r="H510" s="148"/>
      <c r="AE510" s="4"/>
      <c r="AF510" s="4"/>
    </row>
    <row r="511" spans="5:32" ht="12.75">
      <c r="E511" s="148"/>
      <c r="F511" s="148"/>
      <c r="G511" s="148"/>
      <c r="H511" s="148"/>
      <c r="AE511" s="4"/>
      <c r="AF511" s="4"/>
    </row>
    <row r="512" spans="5:32" ht="12.75">
      <c r="E512" s="148"/>
      <c r="F512" s="148"/>
      <c r="G512" s="148"/>
      <c r="H512" s="148"/>
      <c r="AE512" s="4"/>
      <c r="AF512" s="4"/>
    </row>
    <row r="513" spans="5:32" ht="12.75">
      <c r="E513" s="148"/>
      <c r="F513" s="148"/>
      <c r="G513" s="148"/>
      <c r="H513" s="148"/>
      <c r="AE513" s="4"/>
      <c r="AF513" s="4"/>
    </row>
    <row r="514" spans="5:32" ht="12.75">
      <c r="E514" s="148"/>
      <c r="F514" s="148"/>
      <c r="G514" s="148"/>
      <c r="H514" s="148"/>
      <c r="AE514" s="4"/>
      <c r="AF514" s="4"/>
    </row>
    <row r="515" spans="5:32" ht="12.75">
      <c r="E515" s="148"/>
      <c r="F515" s="148"/>
      <c r="G515" s="148"/>
      <c r="H515" s="148"/>
      <c r="AE515" s="4"/>
      <c r="AF515" s="4"/>
    </row>
    <row r="516" spans="5:32" ht="12.75">
      <c r="E516" s="148"/>
      <c r="F516" s="148"/>
      <c r="G516" s="148"/>
      <c r="H516" s="148"/>
      <c r="AE516" s="4"/>
      <c r="AF516" s="4"/>
    </row>
    <row r="517" spans="5:32" ht="12.75">
      <c r="E517" s="148"/>
      <c r="F517" s="148"/>
      <c r="G517" s="148"/>
      <c r="H517" s="148"/>
      <c r="AE517" s="4"/>
      <c r="AF517" s="4"/>
    </row>
    <row r="518" spans="5:32" ht="12.75">
      <c r="E518" s="148"/>
      <c r="F518" s="148"/>
      <c r="G518" s="148"/>
      <c r="H518" s="148"/>
      <c r="AE518" s="4"/>
      <c r="AF518" s="4"/>
    </row>
    <row r="519" spans="5:32" ht="12.75">
      <c r="E519" s="148"/>
      <c r="F519" s="148"/>
      <c r="G519" s="148"/>
      <c r="H519" s="148"/>
      <c r="AE519" s="4"/>
      <c r="AF519" s="4"/>
    </row>
    <row r="520" spans="5:32" ht="12.75">
      <c r="E520" s="148"/>
      <c r="F520" s="148"/>
      <c r="G520" s="148"/>
      <c r="H520" s="148"/>
      <c r="AE520" s="4"/>
      <c r="AF520" s="4"/>
    </row>
    <row r="521" spans="5:32" ht="12.75">
      <c r="E521" s="148"/>
      <c r="F521" s="148"/>
      <c r="G521" s="148"/>
      <c r="H521" s="148"/>
      <c r="AE521" s="4"/>
      <c r="AF521" s="4"/>
    </row>
    <row r="522" spans="5:32" ht="12.75">
      <c r="E522" s="148"/>
      <c r="F522" s="148"/>
      <c r="G522" s="148"/>
      <c r="H522" s="148"/>
      <c r="AE522" s="4"/>
      <c r="AF522" s="4"/>
    </row>
    <row r="523" spans="5:32" ht="12.75">
      <c r="E523" s="148"/>
      <c r="F523" s="148"/>
      <c r="G523" s="148"/>
      <c r="H523" s="148"/>
      <c r="AE523" s="4"/>
      <c r="AF523" s="4"/>
    </row>
    <row r="524" spans="5:32" ht="12.75">
      <c r="E524" s="148"/>
      <c r="F524" s="148"/>
      <c r="G524" s="148"/>
      <c r="H524" s="148"/>
      <c r="AE524" s="4"/>
      <c r="AF524" s="4"/>
    </row>
    <row r="525" spans="5:32" ht="12.75">
      <c r="E525" s="148"/>
      <c r="F525" s="148"/>
      <c r="G525" s="148"/>
      <c r="H525" s="148"/>
      <c r="AE525" s="4"/>
      <c r="AF525" s="4"/>
    </row>
    <row r="526" spans="5:32" ht="12.75">
      <c r="E526" s="148"/>
      <c r="F526" s="148"/>
      <c r="G526" s="148"/>
      <c r="H526" s="148"/>
      <c r="AE526" s="4"/>
      <c r="AF526" s="4"/>
    </row>
    <row r="527" spans="5:32" ht="12.75">
      <c r="E527" s="148"/>
      <c r="F527" s="148"/>
      <c r="G527" s="148"/>
      <c r="H527" s="148"/>
      <c r="AE527" s="4"/>
      <c r="AF527" s="4"/>
    </row>
    <row r="528" spans="5:32" ht="12.75">
      <c r="E528" s="148"/>
      <c r="F528" s="148"/>
      <c r="G528" s="148"/>
      <c r="H528" s="148"/>
      <c r="AE528" s="4"/>
      <c r="AF528" s="4"/>
    </row>
    <row r="529" spans="5:32" ht="12.75">
      <c r="E529" s="148"/>
      <c r="F529" s="148"/>
      <c r="G529" s="148"/>
      <c r="H529" s="148"/>
      <c r="AE529" s="4"/>
      <c r="AF529" s="4"/>
    </row>
    <row r="530" spans="5:32" ht="12.75">
      <c r="E530" s="148"/>
      <c r="F530" s="148"/>
      <c r="G530" s="148"/>
      <c r="H530" s="148"/>
      <c r="AE530" s="4"/>
      <c r="AF530" s="4"/>
    </row>
    <row r="531" spans="5:32" ht="12.75">
      <c r="E531" s="148"/>
      <c r="F531" s="148"/>
      <c r="G531" s="148"/>
      <c r="H531" s="148"/>
      <c r="AE531" s="4"/>
      <c r="AF531" s="4"/>
    </row>
    <row r="532" spans="5:32" ht="12.75">
      <c r="E532" s="148"/>
      <c r="F532" s="148"/>
      <c r="G532" s="148"/>
      <c r="H532" s="148"/>
      <c r="AE532" s="4"/>
      <c r="AF532" s="4"/>
    </row>
    <row r="533" spans="5:32" ht="12.75">
      <c r="E533" s="148"/>
      <c r="F533" s="148"/>
      <c r="G533" s="148"/>
      <c r="H533" s="148"/>
      <c r="AE533" s="4"/>
      <c r="AF533" s="4"/>
    </row>
    <row r="534" spans="5:32" ht="12.75">
      <c r="E534" s="148"/>
      <c r="F534" s="148"/>
      <c r="G534" s="148"/>
      <c r="H534" s="148"/>
      <c r="AE534" s="4"/>
      <c r="AF534" s="4"/>
    </row>
    <row r="535" spans="5:32" ht="12.75">
      <c r="E535" s="148"/>
      <c r="F535" s="148"/>
      <c r="G535" s="148"/>
      <c r="H535" s="148"/>
      <c r="AE535" s="4"/>
      <c r="AF535" s="4"/>
    </row>
    <row r="536" spans="5:32" ht="12.75">
      <c r="E536" s="148"/>
      <c r="F536" s="148"/>
      <c r="G536" s="148"/>
      <c r="H536" s="148"/>
      <c r="AE536" s="4"/>
      <c r="AF536" s="4"/>
    </row>
    <row r="537" spans="5:32" ht="12.75">
      <c r="E537" s="148"/>
      <c r="F537" s="148"/>
      <c r="G537" s="148"/>
      <c r="H537" s="148"/>
      <c r="AE537" s="4"/>
      <c r="AF537" s="4"/>
    </row>
    <row r="538" spans="5:32" ht="12.75">
      <c r="E538" s="148"/>
      <c r="F538" s="148"/>
      <c r="G538" s="148"/>
      <c r="H538" s="148"/>
      <c r="AE538" s="4"/>
      <c r="AF538" s="4"/>
    </row>
    <row r="539" spans="5:32" ht="12.75">
      <c r="E539" s="148"/>
      <c r="F539" s="148"/>
      <c r="G539" s="148"/>
      <c r="H539" s="148"/>
      <c r="AE539" s="4"/>
      <c r="AF539" s="4"/>
    </row>
    <row r="540" spans="5:32" ht="12.75">
      <c r="E540" s="148"/>
      <c r="F540" s="148"/>
      <c r="G540" s="148"/>
      <c r="H540" s="148"/>
      <c r="AE540" s="4"/>
      <c r="AF540" s="4"/>
    </row>
    <row r="541" spans="5:32" ht="12.75">
      <c r="E541" s="148"/>
      <c r="F541" s="148"/>
      <c r="G541" s="148"/>
      <c r="H541" s="148"/>
      <c r="AE541" s="4"/>
      <c r="AF541" s="4"/>
    </row>
    <row r="542" spans="5:32" ht="12.75">
      <c r="E542" s="148"/>
      <c r="F542" s="148"/>
      <c r="G542" s="148"/>
      <c r="H542" s="148"/>
      <c r="AE542" s="4"/>
      <c r="AF542" s="4"/>
    </row>
    <row r="543" spans="5:32" ht="12.75">
      <c r="E543" s="148"/>
      <c r="F543" s="148"/>
      <c r="G543" s="148"/>
      <c r="H543" s="148"/>
      <c r="AE543" s="4"/>
      <c r="AF543" s="4"/>
    </row>
    <row r="544" spans="5:32" ht="12.75">
      <c r="E544" s="148"/>
      <c r="F544" s="148"/>
      <c r="G544" s="148"/>
      <c r="H544" s="148"/>
      <c r="AE544" s="4"/>
      <c r="AF544" s="4"/>
    </row>
    <row r="545" spans="5:32" ht="12.75">
      <c r="E545" s="148"/>
      <c r="F545" s="148"/>
      <c r="G545" s="148"/>
      <c r="H545" s="148"/>
      <c r="AE545" s="4"/>
      <c r="AF545" s="4"/>
    </row>
    <row r="546" spans="5:32" ht="12.75">
      <c r="E546" s="148"/>
      <c r="F546" s="148"/>
      <c r="G546" s="148"/>
      <c r="H546" s="148"/>
      <c r="AE546" s="4"/>
      <c r="AF546" s="4"/>
    </row>
    <row r="547" spans="5:32" ht="12.75">
      <c r="E547" s="148"/>
      <c r="F547" s="148"/>
      <c r="G547" s="148"/>
      <c r="H547" s="148"/>
      <c r="AE547" s="4"/>
      <c r="AF547" s="4"/>
    </row>
    <row r="548" spans="5:32" ht="12.75">
      <c r="E548" s="148"/>
      <c r="F548" s="148"/>
      <c r="G548" s="148"/>
      <c r="H548" s="148"/>
      <c r="AE548" s="4"/>
      <c r="AF548" s="4"/>
    </row>
    <row r="549" spans="5:32" ht="12.75">
      <c r="E549" s="148"/>
      <c r="F549" s="148"/>
      <c r="G549" s="148"/>
      <c r="H549" s="148"/>
      <c r="AE549" s="4"/>
      <c r="AF549" s="4"/>
    </row>
    <row r="550" spans="5:32" ht="12.75">
      <c r="E550" s="148"/>
      <c r="F550" s="148"/>
      <c r="G550" s="148"/>
      <c r="H550" s="148"/>
      <c r="AE550" s="4"/>
      <c r="AF550" s="4"/>
    </row>
    <row r="551" spans="5:32" ht="12.75">
      <c r="E551" s="148"/>
      <c r="F551" s="148"/>
      <c r="G551" s="148"/>
      <c r="H551" s="148"/>
      <c r="AE551" s="4"/>
      <c r="AF551" s="4"/>
    </row>
    <row r="552" spans="5:32" ht="12.75">
      <c r="E552" s="148"/>
      <c r="F552" s="148"/>
      <c r="G552" s="148"/>
      <c r="H552" s="148"/>
      <c r="AE552" s="4"/>
      <c r="AF552" s="4"/>
    </row>
    <row r="553" spans="5:32" ht="12.75">
      <c r="E553" s="148"/>
      <c r="F553" s="148"/>
      <c r="G553" s="148"/>
      <c r="H553" s="148"/>
      <c r="AE553" s="4"/>
      <c r="AF553" s="4"/>
    </row>
    <row r="554" spans="5:32" ht="12.75">
      <c r="E554" s="148"/>
      <c r="F554" s="148"/>
      <c r="G554" s="148"/>
      <c r="H554" s="148"/>
      <c r="AE554" s="4"/>
      <c r="AF554" s="4"/>
    </row>
    <row r="555" spans="5:32" ht="12.75">
      <c r="E555" s="148"/>
      <c r="F555" s="148"/>
      <c r="G555" s="148"/>
      <c r="H555" s="148"/>
      <c r="AE555" s="4"/>
      <c r="AF555" s="4"/>
    </row>
    <row r="556" spans="5:32" ht="12.75">
      <c r="E556" s="148"/>
      <c r="F556" s="148"/>
      <c r="G556" s="148"/>
      <c r="H556" s="148"/>
      <c r="AE556" s="4"/>
      <c r="AF556" s="4"/>
    </row>
    <row r="557" spans="5:32" ht="12.75">
      <c r="E557" s="148"/>
      <c r="F557" s="148"/>
      <c r="G557" s="148"/>
      <c r="H557" s="148"/>
      <c r="AE557" s="4"/>
      <c r="AF557" s="4"/>
    </row>
    <row r="558" spans="5:32" ht="12.75">
      <c r="E558" s="148"/>
      <c r="F558" s="148"/>
      <c r="G558" s="148"/>
      <c r="H558" s="148"/>
      <c r="AE558" s="4"/>
      <c r="AF558" s="4"/>
    </row>
    <row r="559" spans="5:32" ht="12.75">
      <c r="E559" s="148"/>
      <c r="F559" s="148"/>
      <c r="G559" s="148"/>
      <c r="H559" s="148"/>
      <c r="AE559" s="4"/>
      <c r="AF559" s="4"/>
    </row>
    <row r="560" spans="5:32" ht="12.75">
      <c r="E560" s="148"/>
      <c r="F560" s="148"/>
      <c r="G560" s="148"/>
      <c r="H560" s="148"/>
      <c r="AE560" s="4"/>
      <c r="AF560" s="4"/>
    </row>
    <row r="561" spans="5:32" ht="12.75">
      <c r="E561" s="148"/>
      <c r="F561" s="148"/>
      <c r="G561" s="148"/>
      <c r="H561" s="148"/>
      <c r="AE561" s="4"/>
      <c r="AF561" s="4"/>
    </row>
    <row r="562" spans="5:32" ht="12.75">
      <c r="E562" s="148"/>
      <c r="F562" s="148"/>
      <c r="G562" s="148"/>
      <c r="H562" s="148"/>
      <c r="AE562" s="4"/>
      <c r="AF562" s="4"/>
    </row>
    <row r="563" spans="5:32" ht="12.75">
      <c r="E563" s="148"/>
      <c r="F563" s="148"/>
      <c r="G563" s="148"/>
      <c r="H563" s="148"/>
      <c r="AE563" s="4"/>
      <c r="AF563" s="4"/>
    </row>
    <row r="564" spans="5:32" ht="12.75">
      <c r="E564" s="148"/>
      <c r="F564" s="148"/>
      <c r="G564" s="148"/>
      <c r="H564" s="148"/>
      <c r="AE564" s="4"/>
      <c r="AF564" s="4"/>
    </row>
    <row r="565" spans="5:32" ht="12.75">
      <c r="E565" s="148"/>
      <c r="F565" s="148"/>
      <c r="G565" s="148"/>
      <c r="H565" s="148"/>
      <c r="AE565" s="4"/>
      <c r="AF565" s="4"/>
    </row>
    <row r="566" spans="5:32" ht="12.75">
      <c r="E566" s="148"/>
      <c r="F566" s="148"/>
      <c r="G566" s="148"/>
      <c r="H566" s="148"/>
      <c r="AE566" s="4"/>
      <c r="AF566" s="4"/>
    </row>
    <row r="567" spans="5:32" ht="12.75">
      <c r="E567" s="148"/>
      <c r="F567" s="148"/>
      <c r="G567" s="148"/>
      <c r="H567" s="148"/>
      <c r="AE567" s="4"/>
      <c r="AF567" s="4"/>
    </row>
    <row r="568" spans="5:32" ht="12.75">
      <c r="E568" s="148"/>
      <c r="F568" s="148"/>
      <c r="G568" s="148"/>
      <c r="H568" s="148"/>
      <c r="AE568" s="4"/>
      <c r="AF568" s="4"/>
    </row>
    <row r="569" spans="5:32" ht="12.75">
      <c r="E569" s="148"/>
      <c r="F569" s="148"/>
      <c r="G569" s="148"/>
      <c r="H569" s="148"/>
      <c r="AE569" s="4"/>
      <c r="AF569" s="4"/>
    </row>
    <row r="570" spans="5:32" ht="12.75">
      <c r="E570" s="148"/>
      <c r="F570" s="148"/>
      <c r="G570" s="148"/>
      <c r="H570" s="148"/>
      <c r="AE570" s="4"/>
      <c r="AF570" s="4"/>
    </row>
    <row r="571" spans="5:32" ht="12.75">
      <c r="E571" s="148"/>
      <c r="F571" s="148"/>
      <c r="G571" s="148"/>
      <c r="H571" s="148"/>
      <c r="AE571" s="4"/>
      <c r="AF571" s="4"/>
    </row>
    <row r="572" spans="5:32" ht="12.75">
      <c r="E572" s="148"/>
      <c r="F572" s="148"/>
      <c r="G572" s="148"/>
      <c r="H572" s="148"/>
      <c r="AE572" s="4"/>
      <c r="AF572" s="4"/>
    </row>
    <row r="573" spans="5:32" ht="12.75">
      <c r="E573" s="148"/>
      <c r="F573" s="148"/>
      <c r="G573" s="148"/>
      <c r="H573" s="148"/>
      <c r="AE573" s="4"/>
      <c r="AF573" s="4"/>
    </row>
    <row r="574" spans="5:32" ht="12.75">
      <c r="E574" s="148"/>
      <c r="F574" s="148"/>
      <c r="G574" s="148"/>
      <c r="H574" s="148"/>
      <c r="AE574" s="4"/>
      <c r="AF574" s="4"/>
    </row>
    <row r="575" spans="5:32" ht="12.75">
      <c r="E575" s="148"/>
      <c r="F575" s="148"/>
      <c r="G575" s="148"/>
      <c r="H575" s="148"/>
      <c r="AE575" s="4"/>
      <c r="AF575" s="4"/>
    </row>
    <row r="576" spans="5:32" ht="12.75">
      <c r="E576" s="148"/>
      <c r="F576" s="148"/>
      <c r="G576" s="148"/>
      <c r="H576" s="148"/>
      <c r="AE576" s="4"/>
      <c r="AF576" s="4"/>
    </row>
    <row r="577" spans="5:32" ht="12.75">
      <c r="E577" s="148"/>
      <c r="F577" s="148"/>
      <c r="G577" s="148"/>
      <c r="H577" s="148"/>
      <c r="AE577" s="4"/>
      <c r="AF577" s="4"/>
    </row>
    <row r="578" spans="5:32" ht="12.75">
      <c r="E578" s="148"/>
      <c r="F578" s="148"/>
      <c r="G578" s="148"/>
      <c r="H578" s="148"/>
      <c r="AE578" s="4"/>
      <c r="AF578" s="4"/>
    </row>
    <row r="579" spans="5:32" ht="12.75">
      <c r="E579" s="148"/>
      <c r="F579" s="148"/>
      <c r="G579" s="148"/>
      <c r="H579" s="148"/>
      <c r="AE579" s="4"/>
      <c r="AF579" s="4"/>
    </row>
    <row r="580" spans="5:32" ht="12.75">
      <c r="E580" s="148"/>
      <c r="F580" s="148"/>
      <c r="G580" s="148"/>
      <c r="H580" s="148"/>
      <c r="AE580" s="4"/>
      <c r="AF580" s="4"/>
    </row>
    <row r="581" spans="5:32" ht="12.75">
      <c r="E581" s="148"/>
      <c r="F581" s="148"/>
      <c r="G581" s="148"/>
      <c r="H581" s="148"/>
      <c r="AE581" s="4"/>
      <c r="AF581" s="4"/>
    </row>
    <row r="582" spans="5:32" ht="12.75">
      <c r="E582" s="148"/>
      <c r="F582" s="148"/>
      <c r="G582" s="148"/>
      <c r="H582" s="148"/>
      <c r="AE582" s="4"/>
      <c r="AF582" s="4"/>
    </row>
    <row r="583" spans="5:32" ht="12.75">
      <c r="E583" s="148"/>
      <c r="F583" s="148"/>
      <c r="G583" s="148"/>
      <c r="H583" s="148"/>
      <c r="AE583" s="4"/>
      <c r="AF583" s="4"/>
    </row>
    <row r="584" spans="5:32" ht="12.75">
      <c r="E584" s="148"/>
      <c r="F584" s="148"/>
      <c r="G584" s="148"/>
      <c r="H584" s="148"/>
      <c r="AE584" s="4"/>
      <c r="AF584" s="4"/>
    </row>
    <row r="585" spans="5:32" ht="12.75">
      <c r="E585" s="148"/>
      <c r="F585" s="148"/>
      <c r="G585" s="148"/>
      <c r="H585" s="148"/>
      <c r="AE585" s="4"/>
      <c r="AF585" s="4"/>
    </row>
    <row r="586" spans="5:32" ht="12.75">
      <c r="E586" s="148"/>
      <c r="F586" s="148"/>
      <c r="G586" s="148"/>
      <c r="H586" s="148"/>
      <c r="AE586" s="4"/>
      <c r="AF586" s="4"/>
    </row>
    <row r="587" spans="5:32" ht="12.75">
      <c r="E587" s="148"/>
      <c r="F587" s="148"/>
      <c r="G587" s="148"/>
      <c r="H587" s="148"/>
      <c r="AE587" s="4"/>
      <c r="AF587" s="4"/>
    </row>
    <row r="588" spans="5:32" ht="12.75">
      <c r="E588" s="148"/>
      <c r="F588" s="148"/>
      <c r="G588" s="148"/>
      <c r="H588" s="148"/>
      <c r="AE588" s="4"/>
      <c r="AF588" s="4"/>
    </row>
    <row r="589" spans="5:32" ht="12.75">
      <c r="E589" s="148"/>
      <c r="F589" s="148"/>
      <c r="G589" s="148"/>
      <c r="H589" s="148"/>
      <c r="AE589" s="4"/>
      <c r="AF589" s="4"/>
    </row>
    <row r="590" spans="5:32" ht="12.75">
      <c r="E590" s="148"/>
      <c r="F590" s="148"/>
      <c r="G590" s="148"/>
      <c r="H590" s="148"/>
      <c r="AE590" s="4"/>
      <c r="AF590" s="4"/>
    </row>
    <row r="591" spans="5:32" ht="12.75">
      <c r="E591" s="148"/>
      <c r="F591" s="148"/>
      <c r="G591" s="148"/>
      <c r="H591" s="148"/>
      <c r="AE591" s="4"/>
      <c r="AF591" s="4"/>
    </row>
    <row r="592" spans="5:32" ht="12.75">
      <c r="E592" s="148"/>
      <c r="F592" s="148"/>
      <c r="G592" s="148"/>
      <c r="H592" s="148"/>
      <c r="AE592" s="4"/>
      <c r="AF592" s="4"/>
    </row>
    <row r="593" spans="5:32" ht="12.75">
      <c r="E593" s="148"/>
      <c r="F593" s="148"/>
      <c r="G593" s="148"/>
      <c r="H593" s="148"/>
      <c r="AE593" s="4"/>
      <c r="AF593" s="4"/>
    </row>
    <row r="594" spans="5:32" ht="12.75">
      <c r="E594" s="148"/>
      <c r="F594" s="148"/>
      <c r="G594" s="148"/>
      <c r="H594" s="148"/>
      <c r="AE594" s="4"/>
      <c r="AF594" s="4"/>
    </row>
    <row r="595" spans="5:32" ht="12.75">
      <c r="E595" s="148"/>
      <c r="F595" s="148"/>
      <c r="G595" s="148"/>
      <c r="H595" s="148"/>
      <c r="AE595" s="4"/>
      <c r="AF595" s="4"/>
    </row>
    <row r="596" spans="5:32" ht="12.75">
      <c r="E596" s="148"/>
      <c r="F596" s="148"/>
      <c r="G596" s="148"/>
      <c r="H596" s="148"/>
      <c r="AE596" s="4"/>
      <c r="AF596" s="4"/>
    </row>
    <row r="597" spans="5:32" ht="12.75">
      <c r="E597" s="148"/>
      <c r="F597" s="148"/>
      <c r="G597" s="148"/>
      <c r="H597" s="148"/>
      <c r="AE597" s="4"/>
      <c r="AF597" s="4"/>
    </row>
    <row r="598" spans="5:32" ht="12.75">
      <c r="E598" s="148"/>
      <c r="F598" s="148"/>
      <c r="G598" s="148"/>
      <c r="H598" s="148"/>
      <c r="AE598" s="4"/>
      <c r="AF598" s="4"/>
    </row>
    <row r="599" spans="5:32" ht="12.75">
      <c r="E599" s="148"/>
      <c r="F599" s="148"/>
      <c r="G599" s="148"/>
      <c r="H599" s="148"/>
      <c r="AE599" s="4"/>
      <c r="AF599" s="4"/>
    </row>
    <row r="600" spans="5:32" ht="12.75">
      <c r="E600" s="148"/>
      <c r="F600" s="148"/>
      <c r="G600" s="148"/>
      <c r="H600" s="148"/>
      <c r="AE600" s="4"/>
      <c r="AF600" s="4"/>
    </row>
    <row r="601" spans="5:32" ht="12.75">
      <c r="E601" s="148"/>
      <c r="F601" s="148"/>
      <c r="G601" s="148"/>
      <c r="H601" s="148"/>
      <c r="AE601" s="4"/>
      <c r="AF601" s="4"/>
    </row>
    <row r="602" spans="5:32" ht="12.75">
      <c r="E602" s="148"/>
      <c r="F602" s="148"/>
      <c r="G602" s="148"/>
      <c r="H602" s="148"/>
      <c r="AE602" s="4"/>
      <c r="AF602" s="4"/>
    </row>
    <row r="603" spans="5:32" ht="12.75">
      <c r="E603" s="148"/>
      <c r="F603" s="148"/>
      <c r="G603" s="148"/>
      <c r="H603" s="148"/>
      <c r="AE603" s="4"/>
      <c r="AF603" s="4"/>
    </row>
    <row r="604" spans="5:32" ht="12.75">
      <c r="E604" s="148"/>
      <c r="F604" s="148"/>
      <c r="G604" s="148"/>
      <c r="H604" s="148"/>
      <c r="AE604" s="4"/>
      <c r="AF604" s="4"/>
    </row>
    <row r="605" spans="5:32" ht="12.75">
      <c r="E605" s="148"/>
      <c r="F605" s="148"/>
      <c r="G605" s="148"/>
      <c r="H605" s="148"/>
      <c r="AE605" s="4"/>
      <c r="AF605" s="4"/>
    </row>
    <row r="606" spans="5:32" ht="12.75">
      <c r="E606" s="148"/>
      <c r="F606" s="148"/>
      <c r="G606" s="148"/>
      <c r="H606" s="148"/>
      <c r="AE606" s="4"/>
      <c r="AF606" s="4"/>
    </row>
    <row r="607" spans="5:32" ht="12.75">
      <c r="E607" s="148"/>
      <c r="F607" s="148"/>
      <c r="G607" s="148"/>
      <c r="H607" s="148"/>
      <c r="AE607" s="4"/>
      <c r="AF607" s="4"/>
    </row>
    <row r="608" spans="5:32" ht="12.75">
      <c r="E608" s="148"/>
      <c r="F608" s="148"/>
      <c r="G608" s="148"/>
      <c r="H608" s="148"/>
      <c r="AE608" s="4"/>
      <c r="AF608" s="4"/>
    </row>
    <row r="609" spans="5:32" ht="12.75">
      <c r="E609" s="148"/>
      <c r="F609" s="148"/>
      <c r="G609" s="148"/>
      <c r="H609" s="148"/>
      <c r="AE609" s="4"/>
      <c r="AF609" s="4"/>
    </row>
    <row r="610" spans="5:32" ht="12.75">
      <c r="E610" s="148"/>
      <c r="F610" s="148"/>
      <c r="G610" s="148"/>
      <c r="H610" s="148"/>
      <c r="AE610" s="4"/>
      <c r="AF610" s="4"/>
    </row>
    <row r="611" spans="5:32" ht="12.75">
      <c r="E611" s="148"/>
      <c r="F611" s="148"/>
      <c r="G611" s="148"/>
      <c r="H611" s="148"/>
      <c r="AE611" s="4"/>
      <c r="AF611" s="4"/>
    </row>
    <row r="612" spans="5:32" ht="12.75">
      <c r="E612" s="148"/>
      <c r="F612" s="148"/>
      <c r="G612" s="148"/>
      <c r="H612" s="148"/>
      <c r="AE612" s="4"/>
      <c r="AF612" s="4"/>
    </row>
    <row r="613" spans="5:32" ht="12.75">
      <c r="E613" s="148"/>
      <c r="F613" s="148"/>
      <c r="G613" s="148"/>
      <c r="H613" s="148"/>
      <c r="AE613" s="4"/>
      <c r="AF613" s="4"/>
    </row>
    <row r="614" spans="5:32" ht="12.75">
      <c r="E614" s="148"/>
      <c r="F614" s="148"/>
      <c r="G614" s="148"/>
      <c r="H614" s="148"/>
      <c r="AE614" s="4"/>
      <c r="AF614" s="4"/>
    </row>
    <row r="615" spans="5:32" ht="12.75">
      <c r="E615" s="148"/>
      <c r="F615" s="148"/>
      <c r="G615" s="148"/>
      <c r="H615" s="148"/>
      <c r="AE615" s="4"/>
      <c r="AF615" s="4"/>
    </row>
    <row r="616" spans="5:32" ht="12.75">
      <c r="E616" s="148"/>
      <c r="F616" s="148"/>
      <c r="G616" s="148"/>
      <c r="H616" s="148"/>
      <c r="AE616" s="4"/>
      <c r="AF616" s="4"/>
    </row>
    <row r="617" spans="5:32" ht="12.75">
      <c r="E617" s="148"/>
      <c r="F617" s="148"/>
      <c r="G617" s="148"/>
      <c r="H617" s="148"/>
      <c r="AE617" s="4"/>
      <c r="AF617" s="4"/>
    </row>
    <row r="618" spans="5:32" ht="12.75">
      <c r="E618" s="148"/>
      <c r="F618" s="148"/>
      <c r="G618" s="148"/>
      <c r="H618" s="148"/>
      <c r="AE618" s="4"/>
      <c r="AF618" s="4"/>
    </row>
    <row r="619" spans="5:32" ht="12.75">
      <c r="E619" s="148"/>
      <c r="F619" s="148"/>
      <c r="G619" s="148"/>
      <c r="H619" s="148"/>
      <c r="AE619" s="4"/>
      <c r="AF619" s="4"/>
    </row>
    <row r="620" spans="5:32" ht="12.75">
      <c r="E620" s="148"/>
      <c r="F620" s="148"/>
      <c r="G620" s="148"/>
      <c r="H620" s="148"/>
      <c r="AE620" s="4"/>
      <c r="AF620" s="4"/>
    </row>
    <row r="621" spans="5:32" ht="12.75">
      <c r="E621" s="148"/>
      <c r="F621" s="148"/>
      <c r="G621" s="148"/>
      <c r="H621" s="148"/>
      <c r="AE621" s="4"/>
      <c r="AF621" s="4"/>
    </row>
    <row r="622" spans="5:32" ht="12.75">
      <c r="E622" s="148"/>
      <c r="F622" s="148"/>
      <c r="G622" s="148"/>
      <c r="H622" s="148"/>
      <c r="AE622" s="4"/>
      <c r="AF622" s="4"/>
    </row>
    <row r="623" spans="5:32" ht="12.75">
      <c r="E623" s="148"/>
      <c r="F623" s="148"/>
      <c r="G623" s="148"/>
      <c r="H623" s="148"/>
      <c r="AE623" s="4"/>
      <c r="AF623" s="4"/>
    </row>
    <row r="624" spans="5:32" ht="12.75">
      <c r="E624" s="148"/>
      <c r="F624" s="148"/>
      <c r="G624" s="148"/>
      <c r="H624" s="148"/>
      <c r="AE624" s="4"/>
      <c r="AF624" s="4"/>
    </row>
    <row r="625" spans="5:32" ht="12.75">
      <c r="E625" s="148"/>
      <c r="F625" s="148"/>
      <c r="G625" s="148"/>
      <c r="H625" s="148"/>
      <c r="AE625" s="4"/>
      <c r="AF625" s="4"/>
    </row>
    <row r="626" spans="5:32" ht="12.75">
      <c r="E626" s="148"/>
      <c r="F626" s="148"/>
      <c r="G626" s="148"/>
      <c r="H626" s="148"/>
      <c r="AE626" s="4"/>
      <c r="AF626" s="4"/>
    </row>
    <row r="627" spans="5:32" ht="12.75">
      <c r="E627" s="148"/>
      <c r="F627" s="148"/>
      <c r="G627" s="148"/>
      <c r="H627" s="148"/>
      <c r="AE627" s="4"/>
      <c r="AF627" s="4"/>
    </row>
    <row r="628" spans="5:32" ht="12.75">
      <c r="E628" s="148"/>
      <c r="F628" s="148"/>
      <c r="G628" s="148"/>
      <c r="H628" s="148"/>
      <c r="AE628" s="4"/>
      <c r="AF628" s="4"/>
    </row>
    <row r="629" spans="5:32" ht="12.75">
      <c r="E629" s="148"/>
      <c r="F629" s="148"/>
      <c r="G629" s="148"/>
      <c r="H629" s="148"/>
      <c r="AE629" s="4"/>
      <c r="AF629" s="4"/>
    </row>
    <row r="630" spans="5:32" ht="12.75">
      <c r="E630" s="148"/>
      <c r="F630" s="148"/>
      <c r="G630" s="148"/>
      <c r="H630" s="148"/>
      <c r="AE630" s="4"/>
      <c r="AF630" s="4"/>
    </row>
    <row r="631" spans="5:32" ht="12.75">
      <c r="E631" s="148"/>
      <c r="F631" s="148"/>
      <c r="G631" s="148"/>
      <c r="H631" s="148"/>
      <c r="AE631" s="4"/>
      <c r="AF631" s="4"/>
    </row>
    <row r="632" spans="5:32" ht="12.75">
      <c r="E632" s="148"/>
      <c r="F632" s="148"/>
      <c r="G632" s="148"/>
      <c r="H632" s="148"/>
      <c r="AE632" s="4"/>
      <c r="AF632" s="4"/>
    </row>
    <row r="633" spans="5:32" ht="12.75">
      <c r="E633" s="148"/>
      <c r="F633" s="148"/>
      <c r="G633" s="148"/>
      <c r="H633" s="148"/>
      <c r="AE633" s="4"/>
      <c r="AF633" s="4"/>
    </row>
    <row r="634" spans="5:32" ht="12.75">
      <c r="E634" s="148"/>
      <c r="F634" s="148"/>
      <c r="G634" s="148"/>
      <c r="H634" s="148"/>
      <c r="AE634" s="4"/>
      <c r="AF634" s="4"/>
    </row>
    <row r="635" spans="5:32" ht="12.75">
      <c r="E635" s="148"/>
      <c r="F635" s="148"/>
      <c r="G635" s="148"/>
      <c r="H635" s="148"/>
      <c r="AE635" s="4"/>
      <c r="AF635" s="4"/>
    </row>
    <row r="636" spans="5:32" ht="12.75">
      <c r="E636" s="148"/>
      <c r="F636" s="148"/>
      <c r="G636" s="148"/>
      <c r="H636" s="148"/>
      <c r="AE636" s="4"/>
      <c r="AF636" s="4"/>
    </row>
    <row r="637" spans="5:32" ht="12.75">
      <c r="E637" s="148"/>
      <c r="F637" s="148"/>
      <c r="G637" s="148"/>
      <c r="H637" s="148"/>
      <c r="AE637" s="4"/>
      <c r="AF637" s="4"/>
    </row>
    <row r="638" spans="5:32" ht="12.75">
      <c r="E638" s="148"/>
      <c r="F638" s="148"/>
      <c r="G638" s="148"/>
      <c r="H638" s="148"/>
      <c r="AE638" s="4"/>
      <c r="AF638" s="4"/>
    </row>
    <row r="639" spans="5:32" ht="12.75">
      <c r="E639" s="148"/>
      <c r="F639" s="148"/>
      <c r="G639" s="148"/>
      <c r="H639" s="148"/>
      <c r="AE639" s="4"/>
      <c r="AF639" s="4"/>
    </row>
    <row r="640" spans="5:32" ht="12.75">
      <c r="E640" s="148"/>
      <c r="F640" s="148"/>
      <c r="G640" s="148"/>
      <c r="H640" s="148"/>
      <c r="AE640" s="4"/>
      <c r="AF640" s="4"/>
    </row>
    <row r="641" spans="5:32" ht="12.75">
      <c r="E641" s="148"/>
      <c r="F641" s="148"/>
      <c r="G641" s="148"/>
      <c r="H641" s="148"/>
      <c r="AE641" s="4"/>
      <c r="AF641" s="4"/>
    </row>
    <row r="642" spans="5:32" ht="12.75">
      <c r="E642" s="148"/>
      <c r="F642" s="148"/>
      <c r="G642" s="148"/>
      <c r="H642" s="148"/>
      <c r="AE642" s="4"/>
      <c r="AF642" s="4"/>
    </row>
    <row r="643" spans="5:32" ht="12.75">
      <c r="E643" s="148"/>
      <c r="F643" s="148"/>
      <c r="G643" s="148"/>
      <c r="H643" s="148"/>
      <c r="AE643" s="4"/>
      <c r="AF643" s="4"/>
    </row>
    <row r="644" spans="5:32" ht="12.75">
      <c r="E644" s="148"/>
      <c r="F644" s="148"/>
      <c r="G644" s="148"/>
      <c r="H644" s="148"/>
      <c r="AE644" s="4"/>
      <c r="AF644" s="4"/>
    </row>
    <row r="645" spans="5:32" ht="12.75">
      <c r="E645" s="148"/>
      <c r="F645" s="148"/>
      <c r="G645" s="148"/>
      <c r="H645" s="148"/>
      <c r="AE645" s="4"/>
      <c r="AF645" s="4"/>
    </row>
    <row r="646" spans="5:32" ht="12.75">
      <c r="E646" s="148"/>
      <c r="F646" s="148"/>
      <c r="G646" s="148"/>
      <c r="H646" s="148"/>
      <c r="AE646" s="4"/>
      <c r="AF646" s="4"/>
    </row>
    <row r="647" spans="5:32" ht="12.75">
      <c r="E647" s="148"/>
      <c r="F647" s="148"/>
      <c r="G647" s="148"/>
      <c r="H647" s="148"/>
      <c r="AE647" s="4"/>
      <c r="AF647" s="4"/>
    </row>
    <row r="648" spans="5:32" ht="12.75">
      <c r="E648" s="148"/>
      <c r="F648" s="148"/>
      <c r="G648" s="148"/>
      <c r="H648" s="148"/>
      <c r="AE648" s="4"/>
      <c r="AF648" s="4"/>
    </row>
    <row r="649" spans="5:32" ht="12.75">
      <c r="E649" s="148"/>
      <c r="F649" s="148"/>
      <c r="G649" s="148"/>
      <c r="H649" s="148"/>
      <c r="AE649" s="4"/>
      <c r="AF649" s="4"/>
    </row>
    <row r="650" spans="5:32" ht="12.75">
      <c r="E650" s="148"/>
      <c r="F650" s="148"/>
      <c r="G650" s="148"/>
      <c r="H650" s="148"/>
      <c r="AE650" s="4"/>
      <c r="AF650" s="4"/>
    </row>
    <row r="651" spans="5:32" ht="12.75">
      <c r="E651" s="148"/>
      <c r="F651" s="148"/>
      <c r="G651" s="148"/>
      <c r="H651" s="148"/>
      <c r="AE651" s="4"/>
      <c r="AF651" s="4"/>
    </row>
    <row r="652" spans="5:32" ht="12.75">
      <c r="E652" s="148"/>
      <c r="F652" s="148"/>
      <c r="G652" s="148"/>
      <c r="H652" s="148"/>
      <c r="AE652" s="4"/>
      <c r="AF652" s="4"/>
    </row>
    <row r="653" spans="5:32" ht="12.75">
      <c r="E653" s="148"/>
      <c r="F653" s="148"/>
      <c r="G653" s="148"/>
      <c r="H653" s="148"/>
      <c r="AE653" s="4"/>
      <c r="AF653" s="4"/>
    </row>
    <row r="654" spans="5:32" ht="12.75">
      <c r="E654" s="148"/>
      <c r="F654" s="148"/>
      <c r="G654" s="148"/>
      <c r="H654" s="148"/>
      <c r="AE654" s="4"/>
      <c r="AF654" s="4"/>
    </row>
    <row r="655" spans="5:32" ht="12.75">
      <c r="E655" s="148"/>
      <c r="F655" s="148"/>
      <c r="G655" s="148"/>
      <c r="H655" s="148"/>
      <c r="AE655" s="4"/>
      <c r="AF655" s="4"/>
    </row>
    <row r="656" spans="5:32" ht="12.75">
      <c r="E656" s="148"/>
      <c r="F656" s="148"/>
      <c r="G656" s="148"/>
      <c r="H656" s="148"/>
      <c r="AE656" s="4"/>
      <c r="AF656" s="4"/>
    </row>
    <row r="657" spans="5:32" ht="12.75">
      <c r="E657" s="148"/>
      <c r="F657" s="148"/>
      <c r="G657" s="148"/>
      <c r="H657" s="148"/>
      <c r="AE657" s="4"/>
      <c r="AF657" s="4"/>
    </row>
    <row r="658" spans="5:32" ht="12.75">
      <c r="E658" s="148"/>
      <c r="F658" s="148"/>
      <c r="G658" s="148"/>
      <c r="H658" s="148"/>
      <c r="AE658" s="4"/>
      <c r="AF658" s="4"/>
    </row>
    <row r="659" spans="5:32" ht="12.75">
      <c r="E659" s="148"/>
      <c r="F659" s="148"/>
      <c r="G659" s="148"/>
      <c r="H659" s="148"/>
      <c r="AE659" s="4"/>
      <c r="AF659" s="4"/>
    </row>
    <row r="660" spans="5:32" ht="12.75">
      <c r="E660" s="148"/>
      <c r="F660" s="148"/>
      <c r="G660" s="148"/>
      <c r="H660" s="148"/>
      <c r="AE660" s="4"/>
      <c r="AF660" s="4"/>
    </row>
    <row r="661" spans="5:32" ht="12.75">
      <c r="E661" s="148"/>
      <c r="F661" s="148"/>
      <c r="G661" s="148"/>
      <c r="H661" s="148"/>
      <c r="AE661" s="4"/>
      <c r="AF661" s="4"/>
    </row>
    <row r="662" spans="5:32" ht="12.75">
      <c r="E662" s="148"/>
      <c r="F662" s="148"/>
      <c r="G662" s="148"/>
      <c r="H662" s="148"/>
      <c r="AE662" s="4"/>
      <c r="AF662" s="4"/>
    </row>
    <row r="663" spans="5:32" ht="12.75">
      <c r="E663" s="148"/>
      <c r="F663" s="148"/>
      <c r="G663" s="148"/>
      <c r="H663" s="148"/>
      <c r="AE663" s="4"/>
      <c r="AF663" s="4"/>
    </row>
    <row r="664" spans="5:32" ht="12.75">
      <c r="E664" s="148"/>
      <c r="F664" s="148"/>
      <c r="G664" s="148"/>
      <c r="H664" s="148"/>
      <c r="AE664" s="4"/>
      <c r="AF664" s="4"/>
    </row>
    <row r="665" spans="5:32" ht="12.75">
      <c r="E665" s="148"/>
      <c r="F665" s="148"/>
      <c r="G665" s="148"/>
      <c r="H665" s="148"/>
      <c r="AE665" s="4"/>
      <c r="AF665" s="4"/>
    </row>
    <row r="666" spans="5:32" ht="12.75">
      <c r="E666" s="148"/>
      <c r="F666" s="148"/>
      <c r="G666" s="148"/>
      <c r="H666" s="148"/>
      <c r="AE666" s="4"/>
      <c r="AF666" s="4"/>
    </row>
    <row r="667" spans="5:32" ht="12.75">
      <c r="E667" s="148"/>
      <c r="F667" s="148"/>
      <c r="G667" s="148"/>
      <c r="H667" s="148"/>
      <c r="AE667" s="4"/>
      <c r="AF667" s="4"/>
    </row>
    <row r="668" spans="5:32" ht="12.75">
      <c r="E668" s="148"/>
      <c r="F668" s="148"/>
      <c r="G668" s="148"/>
      <c r="H668" s="148"/>
      <c r="AE668" s="4"/>
      <c r="AF668" s="4"/>
    </row>
    <row r="669" spans="5:32" ht="12.75">
      <c r="E669" s="148"/>
      <c r="F669" s="148"/>
      <c r="G669" s="148"/>
      <c r="H669" s="148"/>
      <c r="AE669" s="4"/>
      <c r="AF669" s="4"/>
    </row>
    <row r="670" spans="5:32" ht="12.75">
      <c r="E670" s="148"/>
      <c r="F670" s="148"/>
      <c r="G670" s="148"/>
      <c r="H670" s="148"/>
      <c r="AE670" s="4"/>
      <c r="AF670" s="4"/>
    </row>
    <row r="671" spans="5:32" ht="12.75">
      <c r="E671" s="148"/>
      <c r="F671" s="148"/>
      <c r="G671" s="148"/>
      <c r="H671" s="148"/>
      <c r="AE671" s="4"/>
      <c r="AF671" s="4"/>
    </row>
    <row r="672" spans="5:32" ht="12.75">
      <c r="E672" s="148"/>
      <c r="F672" s="148"/>
      <c r="G672" s="148"/>
      <c r="H672" s="148"/>
      <c r="AE672" s="4"/>
      <c r="AF672" s="4"/>
    </row>
    <row r="673" spans="5:32" ht="12.75">
      <c r="E673" s="148"/>
      <c r="F673" s="148"/>
      <c r="G673" s="148"/>
      <c r="H673" s="148"/>
      <c r="AE673" s="4"/>
      <c r="AF673" s="4"/>
    </row>
    <row r="674" spans="5:32" ht="12.75">
      <c r="E674" s="148"/>
      <c r="F674" s="148"/>
      <c r="G674" s="148"/>
      <c r="H674" s="148"/>
      <c r="AE674" s="4"/>
      <c r="AF674" s="4"/>
    </row>
    <row r="675" spans="5:32" ht="12.75">
      <c r="E675" s="148"/>
      <c r="F675" s="148"/>
      <c r="G675" s="148"/>
      <c r="H675" s="148"/>
      <c r="AE675" s="4"/>
      <c r="AF675" s="4"/>
    </row>
    <row r="676" spans="5:32" ht="12.75">
      <c r="E676" s="148"/>
      <c r="F676" s="148"/>
      <c r="G676" s="148"/>
      <c r="H676" s="148"/>
      <c r="AE676" s="4"/>
      <c r="AF676" s="4"/>
    </row>
    <row r="677" spans="5:32" ht="12.75">
      <c r="E677" s="148"/>
      <c r="F677" s="148"/>
      <c r="G677" s="148"/>
      <c r="H677" s="148"/>
      <c r="AE677" s="4"/>
      <c r="AF677" s="4"/>
    </row>
    <row r="678" spans="5:32" ht="12.75">
      <c r="E678" s="148"/>
      <c r="F678" s="148"/>
      <c r="G678" s="148"/>
      <c r="H678" s="148"/>
      <c r="AE678" s="4"/>
      <c r="AF678" s="4"/>
    </row>
    <row r="679" spans="5:32" ht="12.75">
      <c r="E679" s="148"/>
      <c r="F679" s="148"/>
      <c r="G679" s="148"/>
      <c r="H679" s="148"/>
      <c r="AE679" s="4"/>
      <c r="AF679" s="4"/>
    </row>
    <row r="680" spans="5:32" ht="12.75">
      <c r="E680" s="148"/>
      <c r="F680" s="148"/>
      <c r="G680" s="148"/>
      <c r="H680" s="148"/>
      <c r="AE680" s="4"/>
      <c r="AF680" s="4"/>
    </row>
    <row r="681" spans="5:32" ht="12.75">
      <c r="E681" s="148"/>
      <c r="F681" s="148"/>
      <c r="G681" s="148"/>
      <c r="H681" s="148"/>
      <c r="AE681" s="4"/>
      <c r="AF681" s="4"/>
    </row>
    <row r="682" spans="5:32" ht="12.75">
      <c r="E682" s="148"/>
      <c r="F682" s="148"/>
      <c r="G682" s="148"/>
      <c r="H682" s="148"/>
      <c r="AE682" s="4"/>
      <c r="AF682" s="4"/>
    </row>
    <row r="683" spans="5:32" ht="12.75">
      <c r="E683" s="148"/>
      <c r="F683" s="148"/>
      <c r="G683" s="148"/>
      <c r="H683" s="148"/>
      <c r="AE683" s="4"/>
      <c r="AF683" s="4"/>
    </row>
    <row r="684" spans="5:32" ht="12.75">
      <c r="E684" s="148"/>
      <c r="F684" s="148"/>
      <c r="G684" s="148"/>
      <c r="H684" s="148"/>
      <c r="AE684" s="4"/>
      <c r="AF684" s="4"/>
    </row>
    <row r="685" spans="5:32" ht="12.75">
      <c r="E685" s="148"/>
      <c r="F685" s="148"/>
      <c r="G685" s="148"/>
      <c r="H685" s="148"/>
      <c r="AE685" s="4"/>
      <c r="AF685" s="4"/>
    </row>
    <row r="686" spans="5:32" ht="12.75">
      <c r="E686" s="148"/>
      <c r="F686" s="148"/>
      <c r="G686" s="148"/>
      <c r="H686" s="148"/>
      <c r="AE686" s="4"/>
      <c r="AF686" s="4"/>
    </row>
    <row r="687" spans="5:32" ht="12.75">
      <c r="E687" s="148"/>
      <c r="F687" s="148"/>
      <c r="G687" s="148"/>
      <c r="H687" s="148"/>
      <c r="AE687" s="4"/>
      <c r="AF687" s="4"/>
    </row>
    <row r="688" spans="5:32" ht="12.75">
      <c r="E688" s="148"/>
      <c r="F688" s="148"/>
      <c r="G688" s="148"/>
      <c r="H688" s="148"/>
      <c r="AE688" s="4"/>
      <c r="AF688" s="4"/>
    </row>
    <row r="689" spans="5:32" ht="12.75">
      <c r="E689" s="148"/>
      <c r="F689" s="148"/>
      <c r="G689" s="148"/>
      <c r="H689" s="148"/>
      <c r="AE689" s="4"/>
      <c r="AF689" s="4"/>
    </row>
    <row r="690" spans="5:32" ht="12.75">
      <c r="E690" s="148"/>
      <c r="F690" s="148"/>
      <c r="G690" s="148"/>
      <c r="H690" s="148"/>
      <c r="AE690" s="4"/>
      <c r="AF690" s="4"/>
    </row>
    <row r="691" spans="5:32" ht="12.75">
      <c r="E691" s="148"/>
      <c r="F691" s="148"/>
      <c r="G691" s="148"/>
      <c r="H691" s="148"/>
      <c r="AE691" s="4"/>
      <c r="AF691" s="4"/>
    </row>
    <row r="692" spans="5:32" ht="12.75">
      <c r="E692" s="148"/>
      <c r="F692" s="148"/>
      <c r="G692" s="148"/>
      <c r="H692" s="148"/>
      <c r="AE692" s="4"/>
      <c r="AF692" s="4"/>
    </row>
    <row r="693" spans="5:32" ht="12.75">
      <c r="E693" s="148"/>
      <c r="F693" s="148"/>
      <c r="G693" s="148"/>
      <c r="H693" s="148"/>
      <c r="AE693" s="4"/>
      <c r="AF693" s="4"/>
    </row>
    <row r="694" spans="5:32" ht="12.75">
      <c r="E694" s="148"/>
      <c r="F694" s="148"/>
      <c r="G694" s="148"/>
      <c r="H694" s="148"/>
      <c r="AE694" s="4"/>
      <c r="AF694" s="4"/>
    </row>
    <row r="695" spans="5:32" ht="12.75">
      <c r="E695" s="148"/>
      <c r="F695" s="148"/>
      <c r="G695" s="148"/>
      <c r="H695" s="148"/>
      <c r="AE695" s="4"/>
      <c r="AF695" s="4"/>
    </row>
    <row r="696" spans="5:32" ht="12.75">
      <c r="E696" s="148"/>
      <c r="F696" s="148"/>
      <c r="G696" s="148"/>
      <c r="H696" s="148"/>
      <c r="AE696" s="4"/>
      <c r="AF696" s="4"/>
    </row>
    <row r="697" spans="5:32" ht="12.75">
      <c r="E697" s="148"/>
      <c r="F697" s="148"/>
      <c r="G697" s="148"/>
      <c r="H697" s="148"/>
      <c r="AE697" s="4"/>
      <c r="AF697" s="4"/>
    </row>
    <row r="698" spans="5:32" ht="12.75">
      <c r="E698" s="148"/>
      <c r="F698" s="148"/>
      <c r="G698" s="148"/>
      <c r="H698" s="148"/>
      <c r="AE698" s="4"/>
      <c r="AF698" s="4"/>
    </row>
    <row r="699" spans="5:32" ht="12.75">
      <c r="E699" s="148"/>
      <c r="F699" s="148"/>
      <c r="G699" s="148"/>
      <c r="H699" s="148"/>
      <c r="AE699" s="4"/>
      <c r="AF699" s="4"/>
    </row>
    <row r="700" spans="5:32" ht="12.75">
      <c r="E700" s="148"/>
      <c r="F700" s="148"/>
      <c r="G700" s="148"/>
      <c r="H700" s="148"/>
      <c r="AE700" s="4"/>
      <c r="AF700" s="4"/>
    </row>
    <row r="701" spans="5:32" ht="12.75">
      <c r="E701" s="148"/>
      <c r="F701" s="148"/>
      <c r="G701" s="148"/>
      <c r="H701" s="148"/>
      <c r="AE701" s="4"/>
      <c r="AF701" s="4"/>
    </row>
    <row r="702" spans="5:32" ht="12.75">
      <c r="E702" s="148"/>
      <c r="F702" s="148"/>
      <c r="G702" s="148"/>
      <c r="H702" s="148"/>
      <c r="AE702" s="4"/>
      <c r="AF702" s="4"/>
    </row>
    <row r="703" spans="5:32" ht="12.75">
      <c r="E703" s="148"/>
      <c r="F703" s="148"/>
      <c r="G703" s="148"/>
      <c r="H703" s="148"/>
      <c r="AE703" s="4"/>
      <c r="AF703" s="4"/>
    </row>
    <row r="704" spans="5:32" ht="12.75">
      <c r="E704" s="148"/>
      <c r="F704" s="148"/>
      <c r="G704" s="148"/>
      <c r="H704" s="148"/>
      <c r="AE704" s="4"/>
      <c r="AF704" s="4"/>
    </row>
    <row r="705" spans="5:32" ht="12.75">
      <c r="E705" s="148"/>
      <c r="F705" s="148"/>
      <c r="G705" s="148"/>
      <c r="H705" s="148"/>
      <c r="AE705" s="4"/>
      <c r="AF705" s="4"/>
    </row>
    <row r="706" spans="5:32" ht="12.75">
      <c r="E706" s="148"/>
      <c r="F706" s="148"/>
      <c r="G706" s="148"/>
      <c r="H706" s="148"/>
      <c r="AE706" s="4"/>
      <c r="AF706" s="4"/>
    </row>
    <row r="707" spans="5:32" ht="12.75">
      <c r="E707" s="148"/>
      <c r="F707" s="148"/>
      <c r="G707" s="148"/>
      <c r="H707" s="148"/>
      <c r="AE707" s="4"/>
      <c r="AF707" s="4"/>
    </row>
    <row r="708" spans="5:32" ht="12.75">
      <c r="E708" s="148"/>
      <c r="F708" s="148"/>
      <c r="G708" s="148"/>
      <c r="H708" s="148"/>
      <c r="AE708" s="4"/>
      <c r="AF708" s="4"/>
    </row>
    <row r="709" spans="5:32" ht="12.75">
      <c r="E709" s="148"/>
      <c r="F709" s="148"/>
      <c r="G709" s="148"/>
      <c r="H709" s="148"/>
      <c r="AE709" s="4"/>
      <c r="AF709" s="4"/>
    </row>
    <row r="710" spans="5:32" ht="12.75">
      <c r="E710" s="148"/>
      <c r="F710" s="148"/>
      <c r="G710" s="148"/>
      <c r="H710" s="148"/>
      <c r="AE710" s="4"/>
      <c r="AF710" s="4"/>
    </row>
    <row r="711" spans="5:32" ht="12.75">
      <c r="E711" s="148"/>
      <c r="F711" s="148"/>
      <c r="G711" s="148"/>
      <c r="H711" s="148"/>
      <c r="AE711" s="4"/>
      <c r="AF711" s="4"/>
    </row>
    <row r="712" spans="5:32" ht="12.75">
      <c r="E712" s="148"/>
      <c r="F712" s="148"/>
      <c r="G712" s="148"/>
      <c r="H712" s="148"/>
      <c r="AE712" s="4"/>
      <c r="AF712" s="4"/>
    </row>
    <row r="713" spans="5:32" ht="12.75">
      <c r="E713" s="148"/>
      <c r="F713" s="148"/>
      <c r="G713" s="148"/>
      <c r="H713" s="148"/>
      <c r="AE713" s="4"/>
      <c r="AF713" s="4"/>
    </row>
    <row r="714" spans="5:32" ht="12.75">
      <c r="E714" s="148"/>
      <c r="F714" s="148"/>
      <c r="G714" s="148"/>
      <c r="H714" s="148"/>
      <c r="AE714" s="4"/>
      <c r="AF714" s="4"/>
    </row>
    <row r="715" spans="5:32" ht="12.75">
      <c r="E715" s="148"/>
      <c r="F715" s="148"/>
      <c r="G715" s="148"/>
      <c r="H715" s="148"/>
      <c r="AE715" s="4"/>
      <c r="AF715" s="4"/>
    </row>
    <row r="716" spans="5:32" ht="12.75">
      <c r="E716" s="148"/>
      <c r="F716" s="148"/>
      <c r="G716" s="148"/>
      <c r="H716" s="148"/>
      <c r="AE716" s="4"/>
      <c r="AF716" s="4"/>
    </row>
    <row r="717" spans="5:32" ht="12.75">
      <c r="E717" s="148"/>
      <c r="F717" s="148"/>
      <c r="G717" s="148"/>
      <c r="H717" s="148"/>
      <c r="AE717" s="4"/>
      <c r="AF717" s="4"/>
    </row>
    <row r="718" spans="5:32" ht="12.75">
      <c r="E718" s="148"/>
      <c r="F718" s="148"/>
      <c r="G718" s="148"/>
      <c r="H718" s="148"/>
      <c r="AE718" s="4"/>
      <c r="AF718" s="4"/>
    </row>
    <row r="719" spans="5:32" ht="12.75">
      <c r="E719" s="148"/>
      <c r="F719" s="148"/>
      <c r="G719" s="148"/>
      <c r="H719" s="148"/>
      <c r="AE719" s="4"/>
      <c r="AF719" s="4"/>
    </row>
    <row r="720" spans="5:32" ht="12.75">
      <c r="E720" s="148"/>
      <c r="F720" s="148"/>
      <c r="G720" s="148"/>
      <c r="H720" s="148"/>
      <c r="AE720" s="4"/>
      <c r="AF720" s="4"/>
    </row>
    <row r="721" spans="5:32" ht="12.75">
      <c r="E721" s="148"/>
      <c r="F721" s="148"/>
      <c r="G721" s="148"/>
      <c r="H721" s="148"/>
      <c r="AE721" s="4"/>
      <c r="AF721" s="4"/>
    </row>
    <row r="722" spans="5:32" ht="12.75">
      <c r="E722" s="148"/>
      <c r="F722" s="148"/>
      <c r="G722" s="148"/>
      <c r="H722" s="148"/>
      <c r="AE722" s="4"/>
      <c r="AF722" s="4"/>
    </row>
    <row r="723" spans="5:32" ht="12.75">
      <c r="E723" s="148"/>
      <c r="F723" s="148"/>
      <c r="G723" s="148"/>
      <c r="H723" s="148"/>
      <c r="AE723" s="4"/>
      <c r="AF723" s="4"/>
    </row>
    <row r="724" spans="5:32" ht="12.75">
      <c r="E724" s="148"/>
      <c r="F724" s="148"/>
      <c r="G724" s="148"/>
      <c r="H724" s="148"/>
      <c r="AE724" s="4"/>
      <c r="AF724" s="4"/>
    </row>
    <row r="725" spans="5:32" ht="12.75">
      <c r="E725" s="148"/>
      <c r="F725" s="148"/>
      <c r="G725" s="148"/>
      <c r="H725" s="148"/>
      <c r="AE725" s="4"/>
      <c r="AF725" s="4"/>
    </row>
    <row r="726" spans="5:32" ht="12.75">
      <c r="E726" s="148"/>
      <c r="F726" s="148"/>
      <c r="G726" s="148"/>
      <c r="H726" s="148"/>
      <c r="AE726" s="4"/>
      <c r="AF726" s="4"/>
    </row>
    <row r="727" spans="5:32" ht="12.75">
      <c r="E727" s="148"/>
      <c r="F727" s="148"/>
      <c r="G727" s="148"/>
      <c r="H727" s="148"/>
      <c r="AE727" s="4"/>
      <c r="AF727" s="4"/>
    </row>
    <row r="728" spans="5:32" ht="12.75">
      <c r="E728" s="148"/>
      <c r="F728" s="148"/>
      <c r="G728" s="148"/>
      <c r="H728" s="148"/>
      <c r="AE728" s="4"/>
      <c r="AF728" s="4"/>
    </row>
    <row r="729" spans="5:32" ht="12.75">
      <c r="E729" s="148"/>
      <c r="F729" s="148"/>
      <c r="G729" s="148"/>
      <c r="H729" s="148"/>
      <c r="AE729" s="4"/>
      <c r="AF729" s="4"/>
    </row>
    <row r="730" spans="5:32" ht="12.75">
      <c r="E730" s="148"/>
      <c r="F730" s="148"/>
      <c r="G730" s="148"/>
      <c r="H730" s="148"/>
      <c r="AE730" s="4"/>
      <c r="AF730" s="4"/>
    </row>
    <row r="731" spans="5:32" ht="12.75">
      <c r="E731" s="148"/>
      <c r="F731" s="148"/>
      <c r="G731" s="148"/>
      <c r="H731" s="148"/>
      <c r="AE731" s="4"/>
      <c r="AF731" s="4"/>
    </row>
    <row r="732" spans="5:32" ht="12.75">
      <c r="E732" s="148"/>
      <c r="F732" s="148"/>
      <c r="G732" s="148"/>
      <c r="H732" s="148"/>
      <c r="AE732" s="4"/>
      <c r="AF732" s="4"/>
    </row>
    <row r="733" spans="5:32" ht="12.75">
      <c r="E733" s="148"/>
      <c r="F733" s="148"/>
      <c r="G733" s="148"/>
      <c r="H733" s="148"/>
      <c r="AE733" s="4"/>
      <c r="AF733" s="4"/>
    </row>
    <row r="734" spans="5:32" ht="12.75">
      <c r="E734" s="148"/>
      <c r="F734" s="148"/>
      <c r="G734" s="148"/>
      <c r="H734" s="148"/>
      <c r="AE734" s="4"/>
      <c r="AF734" s="4"/>
    </row>
    <row r="735" spans="5:32" ht="12.75">
      <c r="E735" s="148"/>
      <c r="F735" s="148"/>
      <c r="G735" s="148"/>
      <c r="H735" s="148"/>
      <c r="AE735" s="4"/>
      <c r="AF735" s="4"/>
    </row>
    <row r="736" spans="5:32" ht="12.75">
      <c r="E736" s="148"/>
      <c r="F736" s="148"/>
      <c r="G736" s="148"/>
      <c r="H736" s="148"/>
      <c r="AE736" s="4"/>
      <c r="AF736" s="4"/>
    </row>
    <row r="737" spans="5:32" ht="12.75">
      <c r="E737" s="148"/>
      <c r="F737" s="148"/>
      <c r="G737" s="148"/>
      <c r="H737" s="148"/>
      <c r="AE737" s="4"/>
      <c r="AF737" s="4"/>
    </row>
    <row r="738" spans="5:32" ht="12.75">
      <c r="E738" s="148"/>
      <c r="F738" s="148"/>
      <c r="G738" s="148"/>
      <c r="H738" s="148"/>
      <c r="AE738" s="4"/>
      <c r="AF738" s="4"/>
    </row>
    <row r="739" spans="5:32" ht="12.75">
      <c r="E739" s="148"/>
      <c r="F739" s="148"/>
      <c r="G739" s="148"/>
      <c r="H739" s="148"/>
      <c r="AE739" s="4"/>
      <c r="AF739" s="4"/>
    </row>
    <row r="740" spans="5:32" ht="12.75">
      <c r="E740" s="148"/>
      <c r="F740" s="148"/>
      <c r="G740" s="148"/>
      <c r="H740" s="148"/>
      <c r="AE740" s="4"/>
      <c r="AF740" s="4"/>
    </row>
    <row r="741" spans="5:32" ht="12.75">
      <c r="E741" s="148"/>
      <c r="F741" s="148"/>
      <c r="G741" s="148"/>
      <c r="H741" s="148"/>
      <c r="AE741" s="4"/>
      <c r="AF741" s="4"/>
    </row>
    <row r="742" spans="5:32" ht="12.75">
      <c r="E742" s="148"/>
      <c r="F742" s="148"/>
      <c r="G742" s="148"/>
      <c r="H742" s="148"/>
      <c r="AE742" s="4"/>
      <c r="AF742" s="4"/>
    </row>
    <row r="743" spans="5:32" ht="12.75">
      <c r="E743" s="148"/>
      <c r="F743" s="148"/>
      <c r="G743" s="148"/>
      <c r="H743" s="148"/>
      <c r="AE743" s="4"/>
      <c r="AF743" s="4"/>
    </row>
    <row r="744" spans="5:32" ht="12.75">
      <c r="E744" s="148"/>
      <c r="F744" s="148"/>
      <c r="G744" s="148"/>
      <c r="H744" s="148"/>
      <c r="AE744" s="4"/>
      <c r="AF744" s="4"/>
    </row>
    <row r="745" spans="5:32" ht="12.75">
      <c r="E745" s="148"/>
      <c r="F745" s="148"/>
      <c r="G745" s="148"/>
      <c r="H745" s="148"/>
      <c r="AE745" s="4"/>
      <c r="AF745" s="4"/>
    </row>
    <row r="746" spans="5:32" ht="12.75">
      <c r="E746" s="148"/>
      <c r="F746" s="148"/>
      <c r="G746" s="148"/>
      <c r="H746" s="148"/>
      <c r="AE746" s="4"/>
      <c r="AF746" s="4"/>
    </row>
    <row r="747" spans="5:32" ht="12.75">
      <c r="E747" s="148"/>
      <c r="F747" s="148"/>
      <c r="G747" s="148"/>
      <c r="H747" s="148"/>
      <c r="AE747" s="4"/>
      <c r="AF747" s="4"/>
    </row>
    <row r="748" spans="5:32" ht="12.75">
      <c r="E748" s="148"/>
      <c r="F748" s="148"/>
      <c r="G748" s="148"/>
      <c r="H748" s="148"/>
      <c r="AE748" s="4"/>
      <c r="AF748" s="4"/>
    </row>
    <row r="749" spans="5:32" ht="12.75">
      <c r="E749" s="148"/>
      <c r="F749" s="148"/>
      <c r="G749" s="148"/>
      <c r="H749" s="148"/>
      <c r="AE749" s="4"/>
      <c r="AF749" s="4"/>
    </row>
    <row r="750" spans="5:32" ht="12.75">
      <c r="E750" s="148"/>
      <c r="F750" s="148"/>
      <c r="G750" s="148"/>
      <c r="H750" s="148"/>
      <c r="AE750" s="4"/>
      <c r="AF750" s="4"/>
    </row>
    <row r="751" spans="5:32" ht="12.75">
      <c r="E751" s="148"/>
      <c r="F751" s="148"/>
      <c r="G751" s="148"/>
      <c r="H751" s="148"/>
      <c r="AE751" s="4"/>
      <c r="AF751" s="4"/>
    </row>
    <row r="752" spans="5:32" ht="12.75">
      <c r="E752" s="148"/>
      <c r="F752" s="148"/>
      <c r="G752" s="148"/>
      <c r="H752" s="148"/>
      <c r="AE752" s="4"/>
      <c r="AF752" s="4"/>
    </row>
    <row r="753" spans="5:32" ht="12.75">
      <c r="E753" s="148"/>
      <c r="F753" s="148"/>
      <c r="G753" s="148"/>
      <c r="H753" s="148"/>
      <c r="AE753" s="4"/>
      <c r="AF753" s="4"/>
    </row>
    <row r="754" spans="5:32" ht="12.75">
      <c r="E754" s="148"/>
      <c r="F754" s="148"/>
      <c r="G754" s="148"/>
      <c r="H754" s="148"/>
      <c r="AE754" s="4"/>
      <c r="AF754" s="4"/>
    </row>
    <row r="755" spans="5:32" ht="12.75">
      <c r="E755" s="148"/>
      <c r="F755" s="148"/>
      <c r="G755" s="148"/>
      <c r="H755" s="148"/>
      <c r="AE755" s="4"/>
      <c r="AF755" s="4"/>
    </row>
    <row r="756" spans="5:32" ht="12.75">
      <c r="E756" s="148"/>
      <c r="F756" s="148"/>
      <c r="G756" s="148"/>
      <c r="H756" s="148"/>
      <c r="AE756" s="4"/>
      <c r="AF756" s="4"/>
    </row>
    <row r="757" spans="5:32" ht="12.75">
      <c r="E757" s="148"/>
      <c r="F757" s="148"/>
      <c r="G757" s="148"/>
      <c r="H757" s="148"/>
      <c r="AE757" s="4"/>
      <c r="AF757" s="4"/>
    </row>
    <row r="758" spans="5:32" ht="12.75">
      <c r="E758" s="148"/>
      <c r="F758" s="148"/>
      <c r="G758" s="148"/>
      <c r="H758" s="148"/>
      <c r="AE758" s="4"/>
      <c r="AF758" s="4"/>
    </row>
    <row r="759" spans="5:32" ht="12.75">
      <c r="E759" s="148"/>
      <c r="F759" s="148"/>
      <c r="G759" s="148"/>
      <c r="H759" s="148"/>
      <c r="AE759" s="4"/>
      <c r="AF759" s="4"/>
    </row>
    <row r="760" spans="5:32" ht="12.75">
      <c r="E760" s="148"/>
      <c r="F760" s="148"/>
      <c r="G760" s="148"/>
      <c r="H760" s="148"/>
      <c r="AE760" s="4"/>
      <c r="AF760" s="4"/>
    </row>
    <row r="761" spans="5:32" ht="12.75">
      <c r="E761" s="148"/>
      <c r="F761" s="148"/>
      <c r="G761" s="148"/>
      <c r="H761" s="148"/>
      <c r="AE761" s="4"/>
      <c r="AF761" s="4"/>
    </row>
    <row r="762" spans="5:32" ht="12.75">
      <c r="E762" s="148"/>
      <c r="F762" s="148"/>
      <c r="G762" s="148"/>
      <c r="H762" s="148"/>
      <c r="AE762" s="4"/>
      <c r="AF762" s="4"/>
    </row>
    <row r="763" spans="5:32" ht="12.75">
      <c r="E763" s="148"/>
      <c r="F763" s="148"/>
      <c r="G763" s="148"/>
      <c r="H763" s="148"/>
      <c r="AE763" s="4"/>
      <c r="AF763" s="4"/>
    </row>
    <row r="764" spans="5:32" ht="12.75">
      <c r="E764" s="148"/>
      <c r="F764" s="148"/>
      <c r="G764" s="148"/>
      <c r="H764" s="148"/>
      <c r="AE764" s="4"/>
      <c r="AF764" s="4"/>
    </row>
    <row r="765" spans="5:32" ht="12.75">
      <c r="E765" s="148"/>
      <c r="F765" s="148"/>
      <c r="G765" s="148"/>
      <c r="H765" s="148"/>
      <c r="AE765" s="4"/>
      <c r="AF765" s="4"/>
    </row>
    <row r="766" spans="5:32" ht="12.75">
      <c r="E766" s="148"/>
      <c r="F766" s="148"/>
      <c r="G766" s="148"/>
      <c r="H766" s="148"/>
      <c r="AE766" s="4"/>
      <c r="AF766" s="4"/>
    </row>
    <row r="767" spans="5:32" ht="12.75">
      <c r="E767" s="148"/>
      <c r="F767" s="148"/>
      <c r="G767" s="148"/>
      <c r="H767" s="148"/>
      <c r="AE767" s="4"/>
      <c r="AF767" s="4"/>
    </row>
    <row r="768" spans="5:32" ht="12.75">
      <c r="E768" s="148"/>
      <c r="F768" s="148"/>
      <c r="G768" s="148"/>
      <c r="H768" s="148"/>
      <c r="AE768" s="4"/>
      <c r="AF768" s="4"/>
    </row>
    <row r="769" spans="5:32" ht="12.75">
      <c r="E769" s="148"/>
      <c r="F769" s="148"/>
      <c r="G769" s="148"/>
      <c r="H769" s="148"/>
      <c r="AE769" s="4"/>
      <c r="AF769" s="4"/>
    </row>
    <row r="770" spans="5:32" ht="12.75">
      <c r="E770" s="148"/>
      <c r="F770" s="148"/>
      <c r="G770" s="148"/>
      <c r="H770" s="148"/>
      <c r="AE770" s="4"/>
      <c r="AF770" s="4"/>
    </row>
    <row r="771" spans="5:32" ht="12.75">
      <c r="E771" s="148"/>
      <c r="F771" s="148"/>
      <c r="G771" s="148"/>
      <c r="H771" s="148"/>
      <c r="AE771" s="4"/>
      <c r="AF771" s="4"/>
    </row>
    <row r="772" spans="5:32" ht="12.75">
      <c r="E772" s="148"/>
      <c r="F772" s="148"/>
      <c r="G772" s="148"/>
      <c r="H772" s="148"/>
      <c r="AE772" s="4"/>
      <c r="AF772" s="4"/>
    </row>
    <row r="773" spans="5:32" ht="12.75">
      <c r="E773" s="148"/>
      <c r="F773" s="148"/>
      <c r="G773" s="148"/>
      <c r="H773" s="148"/>
      <c r="AE773" s="4"/>
      <c r="AF773" s="4"/>
    </row>
    <row r="774" spans="5:32" ht="12.75">
      <c r="E774" s="148"/>
      <c r="F774" s="148"/>
      <c r="G774" s="148"/>
      <c r="H774" s="148"/>
      <c r="AE774" s="4"/>
      <c r="AF774" s="4"/>
    </row>
    <row r="775" spans="5:32" ht="12.75">
      <c r="E775" s="148"/>
      <c r="F775" s="148"/>
      <c r="G775" s="148"/>
      <c r="H775" s="148"/>
      <c r="AE775" s="4"/>
      <c r="AF775" s="4"/>
    </row>
    <row r="776" spans="5:32" ht="12.75">
      <c r="E776" s="148"/>
      <c r="F776" s="148"/>
      <c r="G776" s="148"/>
      <c r="H776" s="148"/>
      <c r="AE776" s="4"/>
      <c r="AF776" s="4"/>
    </row>
    <row r="777" spans="5:32" ht="12.75">
      <c r="E777" s="148"/>
      <c r="F777" s="148"/>
      <c r="G777" s="148"/>
      <c r="H777" s="148"/>
      <c r="AE777" s="4"/>
      <c r="AF777" s="4"/>
    </row>
    <row r="778" spans="5:32" ht="12.75">
      <c r="E778" s="148"/>
      <c r="F778" s="148"/>
      <c r="G778" s="148"/>
      <c r="H778" s="148"/>
      <c r="AE778" s="4"/>
      <c r="AF778" s="4"/>
    </row>
    <row r="779" spans="5:32" ht="12.75">
      <c r="E779" s="148"/>
      <c r="F779" s="148"/>
      <c r="G779" s="148"/>
      <c r="H779" s="148"/>
      <c r="AE779" s="4"/>
      <c r="AF779" s="4"/>
    </row>
    <row r="780" spans="5:32" ht="12.75">
      <c r="E780" s="148"/>
      <c r="F780" s="148"/>
      <c r="G780" s="148"/>
      <c r="H780" s="148"/>
      <c r="AE780" s="4"/>
      <c r="AF780" s="4"/>
    </row>
    <row r="781" spans="5:32" ht="12.75">
      <c r="E781" s="148"/>
      <c r="F781" s="148"/>
      <c r="G781" s="148"/>
      <c r="H781" s="148"/>
      <c r="AE781" s="4"/>
      <c r="AF781" s="4"/>
    </row>
    <row r="782" spans="5:32" ht="12.75">
      <c r="E782" s="148"/>
      <c r="F782" s="148"/>
      <c r="G782" s="148"/>
      <c r="H782" s="148"/>
      <c r="AE782" s="4"/>
      <c r="AF782" s="4"/>
    </row>
    <row r="783" spans="5:32" ht="12.75">
      <c r="E783" s="148"/>
      <c r="F783" s="148"/>
      <c r="G783" s="148"/>
      <c r="H783" s="148"/>
      <c r="AE783" s="4"/>
      <c r="AF783" s="4"/>
    </row>
    <row r="784" spans="5:32" ht="12.75">
      <c r="E784" s="148"/>
      <c r="F784" s="148"/>
      <c r="G784" s="148"/>
      <c r="H784" s="148"/>
      <c r="AE784" s="4"/>
      <c r="AF784" s="4"/>
    </row>
    <row r="785" spans="5:32" ht="12.75">
      <c r="E785" s="148"/>
      <c r="F785" s="148"/>
      <c r="G785" s="148"/>
      <c r="H785" s="148"/>
      <c r="AE785" s="4"/>
      <c r="AF785" s="4"/>
    </row>
    <row r="786" spans="5:32" ht="12.75">
      <c r="E786" s="148"/>
      <c r="F786" s="148"/>
      <c r="G786" s="148"/>
      <c r="H786" s="148"/>
      <c r="AE786" s="4"/>
      <c r="AF786" s="4"/>
    </row>
    <row r="787" spans="5:32" ht="12.75">
      <c r="E787" s="148"/>
      <c r="F787" s="148"/>
      <c r="G787" s="148"/>
      <c r="H787" s="148"/>
      <c r="AE787" s="4"/>
      <c r="AF787" s="4"/>
    </row>
    <row r="788" spans="5:32" ht="12.75">
      <c r="E788" s="148"/>
      <c r="F788" s="148"/>
      <c r="G788" s="148"/>
      <c r="H788" s="148"/>
      <c r="AE788" s="4"/>
      <c r="AF788" s="4"/>
    </row>
    <row r="789" spans="5:32" ht="12.75">
      <c r="E789" s="148"/>
      <c r="F789" s="148"/>
      <c r="G789" s="148"/>
      <c r="H789" s="148"/>
      <c r="AE789" s="4"/>
      <c r="AF789" s="4"/>
    </row>
    <row r="790" spans="5:32" ht="12.75">
      <c r="E790" s="148"/>
      <c r="F790" s="148"/>
      <c r="G790" s="148"/>
      <c r="H790" s="148"/>
      <c r="AE790" s="4"/>
      <c r="AF790" s="4"/>
    </row>
    <row r="791" spans="5:32" ht="12.75">
      <c r="E791" s="148"/>
      <c r="F791" s="148"/>
      <c r="G791" s="148"/>
      <c r="H791" s="148"/>
      <c r="AE791" s="4"/>
      <c r="AF791" s="4"/>
    </row>
    <row r="792" spans="5:32" ht="12.75">
      <c r="E792" s="148"/>
      <c r="F792" s="148"/>
      <c r="G792" s="148"/>
      <c r="H792" s="148"/>
      <c r="AE792" s="4"/>
      <c r="AF792" s="4"/>
    </row>
    <row r="793" spans="5:32" ht="12.75">
      <c r="E793" s="148"/>
      <c r="F793" s="148"/>
      <c r="G793" s="148"/>
      <c r="H793" s="148"/>
      <c r="AE793" s="4"/>
      <c r="AF793" s="4"/>
    </row>
    <row r="794" spans="5:32" ht="12.75">
      <c r="E794" s="148"/>
      <c r="F794" s="148"/>
      <c r="G794" s="148"/>
      <c r="H794" s="148"/>
      <c r="AE794" s="4"/>
      <c r="AF794" s="4"/>
    </row>
    <row r="795" spans="5:32" ht="12.75">
      <c r="E795" s="148"/>
      <c r="F795" s="148"/>
      <c r="G795" s="148"/>
      <c r="H795" s="148"/>
      <c r="AE795" s="4"/>
      <c r="AF795" s="4"/>
    </row>
    <row r="796" spans="5:32" ht="12.75">
      <c r="E796" s="148"/>
      <c r="F796" s="148"/>
      <c r="G796" s="148"/>
      <c r="H796" s="148"/>
      <c r="AE796" s="4"/>
      <c r="AF796" s="4"/>
    </row>
    <row r="797" spans="5:32" ht="12.75">
      <c r="E797" s="148"/>
      <c r="F797" s="148"/>
      <c r="G797" s="148"/>
      <c r="H797" s="148"/>
      <c r="AE797" s="4"/>
      <c r="AF797" s="4"/>
    </row>
    <row r="798" spans="5:32" ht="12.75">
      <c r="E798" s="148"/>
      <c r="F798" s="148"/>
      <c r="G798" s="148"/>
      <c r="H798" s="148"/>
      <c r="AE798" s="4"/>
      <c r="AF798" s="4"/>
    </row>
    <row r="799" spans="5:32" ht="12.75">
      <c r="E799" s="148"/>
      <c r="F799" s="148"/>
      <c r="G799" s="148"/>
      <c r="H799" s="148"/>
      <c r="AE799" s="4"/>
      <c r="AF799" s="4"/>
    </row>
    <row r="800" spans="5:32" ht="12.75">
      <c r="E800" s="148"/>
      <c r="F800" s="148"/>
      <c r="G800" s="148"/>
      <c r="H800" s="148"/>
      <c r="AE800" s="4"/>
      <c r="AF800" s="4"/>
    </row>
    <row r="801" spans="5:32" ht="12.75">
      <c r="E801" s="148"/>
      <c r="F801" s="148"/>
      <c r="G801" s="148"/>
      <c r="H801" s="148"/>
      <c r="AE801" s="4"/>
      <c r="AF801" s="4"/>
    </row>
    <row r="802" spans="5:32" ht="12.75">
      <c r="E802" s="148"/>
      <c r="F802" s="148"/>
      <c r="G802" s="148"/>
      <c r="H802" s="148"/>
      <c r="AE802" s="4"/>
      <c r="AF802" s="4"/>
    </row>
    <row r="803" spans="5:32" ht="12.75">
      <c r="E803" s="148"/>
      <c r="F803" s="148"/>
      <c r="G803" s="148"/>
      <c r="H803" s="148"/>
      <c r="AE803" s="4"/>
      <c r="AF803" s="4"/>
    </row>
    <row r="804" spans="5:32" ht="12.75">
      <c r="E804" s="148"/>
      <c r="F804" s="148"/>
      <c r="G804" s="148"/>
      <c r="H804" s="148"/>
      <c r="AE804" s="4"/>
      <c r="AF804" s="4"/>
    </row>
    <row r="805" spans="5:32" ht="12.75">
      <c r="E805" s="148"/>
      <c r="F805" s="148"/>
      <c r="G805" s="148"/>
      <c r="H805" s="148"/>
      <c r="AE805" s="4"/>
      <c r="AF805" s="4"/>
    </row>
    <row r="806" spans="5:32" ht="12.75">
      <c r="E806" s="148"/>
      <c r="F806" s="148"/>
      <c r="G806" s="148"/>
      <c r="H806" s="148"/>
      <c r="AE806" s="4"/>
      <c r="AF806" s="4"/>
    </row>
    <row r="807" spans="5:32" ht="12.75">
      <c r="E807" s="148"/>
      <c r="F807" s="148"/>
      <c r="G807" s="148"/>
      <c r="H807" s="148"/>
      <c r="AE807" s="4"/>
      <c r="AF807" s="4"/>
    </row>
    <row r="808" spans="5:32" ht="12.75">
      <c r="E808" s="148"/>
      <c r="F808" s="148"/>
      <c r="G808" s="148"/>
      <c r="H808" s="148"/>
      <c r="AE808" s="4"/>
      <c r="AF808" s="4"/>
    </row>
    <row r="809" spans="5:32" ht="12.75">
      <c r="E809" s="148"/>
      <c r="F809" s="148"/>
      <c r="G809" s="148"/>
      <c r="H809" s="148"/>
      <c r="AE809" s="4"/>
      <c r="AF809" s="4"/>
    </row>
    <row r="810" spans="5:32" ht="12.75">
      <c r="E810" s="148"/>
      <c r="F810" s="148"/>
      <c r="G810" s="148"/>
      <c r="H810" s="148"/>
      <c r="AE810" s="4"/>
      <c r="AF810" s="4"/>
    </row>
    <row r="811" spans="5:32" ht="12.75">
      <c r="E811" s="148"/>
      <c r="F811" s="148"/>
      <c r="G811" s="148"/>
      <c r="H811" s="148"/>
      <c r="AE811" s="4"/>
      <c r="AF811" s="4"/>
    </row>
    <row r="812" spans="5:32" ht="12.75">
      <c r="E812" s="148"/>
      <c r="F812" s="148"/>
      <c r="G812" s="148"/>
      <c r="H812" s="148"/>
      <c r="AE812" s="4"/>
      <c r="AF812" s="4"/>
    </row>
    <row r="813" spans="5:32" ht="12.75">
      <c r="E813" s="148"/>
      <c r="F813" s="148"/>
      <c r="G813" s="148"/>
      <c r="H813" s="148"/>
      <c r="AE813" s="4"/>
      <c r="AF813" s="4"/>
    </row>
    <row r="814" spans="5:32" ht="12.75">
      <c r="E814" s="148"/>
      <c r="F814" s="148"/>
      <c r="G814" s="148"/>
      <c r="H814" s="148"/>
      <c r="AE814" s="4"/>
      <c r="AF814" s="4"/>
    </row>
    <row r="815" spans="5:32" ht="12.75">
      <c r="E815" s="148"/>
      <c r="F815" s="148"/>
      <c r="G815" s="148"/>
      <c r="H815" s="148"/>
      <c r="AE815" s="4"/>
      <c r="AF815" s="4"/>
    </row>
    <row r="816" spans="5:32" ht="12.75">
      <c r="E816" s="148"/>
      <c r="F816" s="148"/>
      <c r="G816" s="148"/>
      <c r="H816" s="148"/>
      <c r="AE816" s="4"/>
      <c r="AF816" s="4"/>
    </row>
    <row r="817" spans="5:32" ht="12.75">
      <c r="E817" s="148"/>
      <c r="F817" s="148"/>
      <c r="G817" s="148"/>
      <c r="H817" s="148"/>
      <c r="AE817" s="4"/>
      <c r="AF817" s="4"/>
    </row>
    <row r="818" spans="5:32" ht="12.75">
      <c r="E818" s="148"/>
      <c r="F818" s="148"/>
      <c r="G818" s="148"/>
      <c r="H818" s="148"/>
      <c r="AE818" s="4"/>
      <c r="AF818" s="4"/>
    </row>
    <row r="819" spans="5:32" ht="12.75">
      <c r="E819" s="148"/>
      <c r="F819" s="148"/>
      <c r="G819" s="148"/>
      <c r="H819" s="148"/>
      <c r="AE819" s="4"/>
      <c r="AF819" s="4"/>
    </row>
    <row r="820" spans="5:32" ht="12.75">
      <c r="E820" s="148"/>
      <c r="F820" s="148"/>
      <c r="G820" s="148"/>
      <c r="H820" s="148"/>
      <c r="AE820" s="4"/>
      <c r="AF820" s="4"/>
    </row>
    <row r="821" spans="5:32" ht="12.75">
      <c r="E821" s="148"/>
      <c r="F821" s="148"/>
      <c r="G821" s="148"/>
      <c r="H821" s="148"/>
      <c r="AE821" s="4"/>
      <c r="AF821" s="4"/>
    </row>
    <row r="822" spans="5:32" ht="12.75">
      <c r="E822" s="148"/>
      <c r="F822" s="148"/>
      <c r="G822" s="148"/>
      <c r="H822" s="148"/>
      <c r="AE822" s="4"/>
      <c r="AF822" s="4"/>
    </row>
    <row r="823" spans="5:32" ht="12.75">
      <c r="E823" s="148"/>
      <c r="F823" s="148"/>
      <c r="G823" s="148"/>
      <c r="H823" s="148"/>
      <c r="AE823" s="4"/>
      <c r="AF823" s="4"/>
    </row>
    <row r="824" spans="5:32" ht="12.75">
      <c r="E824" s="148"/>
      <c r="F824" s="148"/>
      <c r="G824" s="148"/>
      <c r="H824" s="148"/>
      <c r="AE824" s="4"/>
      <c r="AF824" s="4"/>
    </row>
    <row r="825" spans="5:32" ht="12.75">
      <c r="E825" s="148"/>
      <c r="F825" s="148"/>
      <c r="G825" s="148"/>
      <c r="H825" s="148"/>
      <c r="AE825" s="4"/>
      <c r="AF825" s="4"/>
    </row>
    <row r="826" spans="5:32" ht="12.75">
      <c r="E826" s="148"/>
      <c r="F826" s="148"/>
      <c r="G826" s="148"/>
      <c r="H826" s="148"/>
      <c r="AE826" s="4"/>
      <c r="AF826" s="4"/>
    </row>
    <row r="827" spans="5:32" ht="12.75">
      <c r="E827" s="148"/>
      <c r="F827" s="148"/>
      <c r="G827" s="148"/>
      <c r="H827" s="148"/>
      <c r="AE827" s="4"/>
      <c r="AF827" s="4"/>
    </row>
    <row r="828" spans="5:32" ht="12.75">
      <c r="E828" s="148"/>
      <c r="F828" s="148"/>
      <c r="G828" s="148"/>
      <c r="H828" s="148"/>
      <c r="AE828" s="4"/>
      <c r="AF828" s="4"/>
    </row>
    <row r="829" spans="5:32" ht="12.75">
      <c r="E829" s="148"/>
      <c r="F829" s="148"/>
      <c r="G829" s="148"/>
      <c r="H829" s="148"/>
      <c r="AE829" s="4"/>
      <c r="AF829" s="4"/>
    </row>
    <row r="830" spans="5:32" ht="12.75">
      <c r="E830" s="148"/>
      <c r="F830" s="148"/>
      <c r="G830" s="148"/>
      <c r="H830" s="148"/>
      <c r="AE830" s="4"/>
      <c r="AF830" s="4"/>
    </row>
    <row r="831" spans="5:32" ht="12.75">
      <c r="E831" s="148"/>
      <c r="F831" s="148"/>
      <c r="G831" s="148"/>
      <c r="H831" s="148"/>
      <c r="AE831" s="4"/>
      <c r="AF831" s="4"/>
    </row>
    <row r="832" spans="5:32" ht="12.75">
      <c r="E832" s="148"/>
      <c r="F832" s="148"/>
      <c r="G832" s="148"/>
      <c r="H832" s="148"/>
      <c r="AE832" s="4"/>
      <c r="AF832" s="4"/>
    </row>
    <row r="833" spans="5:32" ht="12.75">
      <c r="E833" s="148"/>
      <c r="F833" s="148"/>
      <c r="G833" s="148"/>
      <c r="H833" s="148"/>
      <c r="AE833" s="4"/>
      <c r="AF833" s="4"/>
    </row>
    <row r="834" spans="5:32" ht="12.75">
      <c r="E834" s="148"/>
      <c r="F834" s="148"/>
      <c r="G834" s="148"/>
      <c r="H834" s="148"/>
      <c r="AE834" s="4"/>
      <c r="AF834" s="4"/>
    </row>
    <row r="835" spans="5:32" ht="12.75">
      <c r="E835" s="148"/>
      <c r="F835" s="148"/>
      <c r="G835" s="148"/>
      <c r="H835" s="148"/>
      <c r="AE835" s="4"/>
      <c r="AF835" s="4"/>
    </row>
    <row r="836" spans="5:32" ht="12.75">
      <c r="E836" s="148"/>
      <c r="F836" s="148"/>
      <c r="G836" s="148"/>
      <c r="H836" s="148"/>
      <c r="AE836" s="4"/>
      <c r="AF836" s="4"/>
    </row>
    <row r="837" spans="5:32" ht="12.75">
      <c r="E837" s="148"/>
      <c r="F837" s="148"/>
      <c r="G837" s="148"/>
      <c r="H837" s="148"/>
      <c r="AE837" s="4"/>
      <c r="AF837" s="4"/>
    </row>
    <row r="838" spans="5:32" ht="12.75">
      <c r="E838" s="148"/>
      <c r="F838" s="148"/>
      <c r="G838" s="148"/>
      <c r="H838" s="148"/>
      <c r="AE838" s="4"/>
      <c r="AF838" s="4"/>
    </row>
    <row r="839" spans="5:32" ht="12.75">
      <c r="E839" s="148"/>
      <c r="F839" s="148"/>
      <c r="G839" s="148"/>
      <c r="H839" s="148"/>
      <c r="AE839" s="4"/>
      <c r="AF839" s="4"/>
    </row>
    <row r="840" spans="5:32" ht="12.75">
      <c r="E840" s="148"/>
      <c r="F840" s="148"/>
      <c r="G840" s="148"/>
      <c r="H840" s="148"/>
      <c r="AE840" s="4"/>
      <c r="AF840" s="4"/>
    </row>
    <row r="841" spans="5:32" ht="12.75">
      <c r="E841" s="148"/>
      <c r="F841" s="148"/>
      <c r="G841" s="148"/>
      <c r="H841" s="148"/>
      <c r="AE841" s="4"/>
      <c r="AF841" s="4"/>
    </row>
    <row r="842" spans="5:32" ht="12.75">
      <c r="E842" s="148"/>
      <c r="F842" s="148"/>
      <c r="G842" s="148"/>
      <c r="H842" s="148"/>
      <c r="AE842" s="4"/>
      <c r="AF842" s="4"/>
    </row>
    <row r="843" spans="5:32" ht="12.75">
      <c r="E843" s="148"/>
      <c r="F843" s="148"/>
      <c r="G843" s="148"/>
      <c r="H843" s="148"/>
      <c r="AE843" s="4"/>
      <c r="AF843" s="4"/>
    </row>
    <row r="844" spans="5:32" ht="12.75">
      <c r="E844" s="148"/>
      <c r="F844" s="148"/>
      <c r="G844" s="148"/>
      <c r="H844" s="148"/>
      <c r="AE844" s="4"/>
      <c r="AF844" s="4"/>
    </row>
    <row r="845" spans="5:32" ht="12.75">
      <c r="E845" s="148"/>
      <c r="F845" s="148"/>
      <c r="G845" s="148"/>
      <c r="H845" s="148"/>
      <c r="AE845" s="4"/>
      <c r="AF845" s="4"/>
    </row>
    <row r="846" spans="5:32" ht="12.75">
      <c r="E846" s="148"/>
      <c r="F846" s="148"/>
      <c r="G846" s="148"/>
      <c r="H846" s="148"/>
      <c r="AE846" s="4"/>
      <c r="AF846" s="4"/>
    </row>
    <row r="847" spans="5:32" ht="12.75">
      <c r="E847" s="148"/>
      <c r="F847" s="148"/>
      <c r="G847" s="148"/>
      <c r="H847" s="148"/>
      <c r="AE847" s="4"/>
      <c r="AF847" s="4"/>
    </row>
    <row r="848" spans="5:32" ht="12.75">
      <c r="E848" s="148"/>
      <c r="F848" s="148"/>
      <c r="G848" s="148"/>
      <c r="H848" s="148"/>
      <c r="AE848" s="4"/>
      <c r="AF848" s="4"/>
    </row>
    <row r="849" spans="5:32" ht="12.75">
      <c r="E849" s="148"/>
      <c r="F849" s="148"/>
      <c r="G849" s="148"/>
      <c r="H849" s="148"/>
      <c r="AE849" s="4"/>
      <c r="AF849" s="4"/>
    </row>
    <row r="850" spans="5:32" ht="12.75">
      <c r="E850" s="148"/>
      <c r="F850" s="148"/>
      <c r="G850" s="148"/>
      <c r="H850" s="148"/>
      <c r="AE850" s="4"/>
      <c r="AF850" s="4"/>
    </row>
    <row r="851" spans="5:32" ht="12.75">
      <c r="E851" s="148"/>
      <c r="F851" s="148"/>
      <c r="G851" s="148"/>
      <c r="H851" s="148"/>
      <c r="AE851" s="4"/>
      <c r="AF851" s="4"/>
    </row>
    <row r="852" spans="5:32" ht="12.75">
      <c r="E852" s="148"/>
      <c r="F852" s="148"/>
      <c r="G852" s="148"/>
      <c r="H852" s="148"/>
      <c r="AE852" s="4"/>
      <c r="AF852" s="4"/>
    </row>
    <row r="853" spans="5:32" ht="12.75">
      <c r="E853" s="148"/>
      <c r="F853" s="148"/>
      <c r="G853" s="148"/>
      <c r="H853" s="148"/>
      <c r="AE853" s="4"/>
      <c r="AF853" s="4"/>
    </row>
    <row r="854" spans="5:32" ht="12.75">
      <c r="E854" s="148"/>
      <c r="F854" s="148"/>
      <c r="G854" s="148"/>
      <c r="H854" s="148"/>
      <c r="AE854" s="4"/>
      <c r="AF854" s="4"/>
    </row>
    <row r="855" spans="5:32" ht="12.75">
      <c r="E855" s="148"/>
      <c r="F855" s="148"/>
      <c r="G855" s="148"/>
      <c r="H855" s="148"/>
      <c r="AE855" s="4"/>
      <c r="AF855" s="4"/>
    </row>
    <row r="856" spans="5:32" ht="12.75">
      <c r="E856" s="148"/>
      <c r="F856" s="148"/>
      <c r="G856" s="148"/>
      <c r="H856" s="148"/>
      <c r="AE856" s="4"/>
      <c r="AF856" s="4"/>
    </row>
    <row r="857" spans="5:32" ht="12.75">
      <c r="E857" s="148"/>
      <c r="F857" s="148"/>
      <c r="G857" s="148"/>
      <c r="H857" s="148"/>
      <c r="AE857" s="4"/>
      <c r="AF857" s="4"/>
    </row>
    <row r="858" spans="5:32" ht="12.75">
      <c r="E858" s="148"/>
      <c r="F858" s="148"/>
      <c r="G858" s="148"/>
      <c r="H858" s="148"/>
      <c r="AE858" s="4"/>
      <c r="AF858" s="4"/>
    </row>
    <row r="859" spans="5:32" ht="12.75">
      <c r="E859" s="148"/>
      <c r="F859" s="148"/>
      <c r="G859" s="148"/>
      <c r="H859" s="148"/>
      <c r="AE859" s="4"/>
      <c r="AF859" s="4"/>
    </row>
    <row r="860" spans="5:32" ht="12.75">
      <c r="E860" s="148"/>
      <c r="F860" s="148"/>
      <c r="G860" s="148"/>
      <c r="H860" s="148"/>
      <c r="AE860" s="4"/>
      <c r="AF860" s="4"/>
    </row>
    <row r="861" spans="5:32" ht="12.75">
      <c r="E861" s="148"/>
      <c r="F861" s="148"/>
      <c r="G861" s="148"/>
      <c r="H861" s="148"/>
      <c r="AE861" s="4"/>
      <c r="AF861" s="4"/>
    </row>
    <row r="862" spans="5:32" ht="12.75">
      <c r="E862" s="148"/>
      <c r="F862" s="148"/>
      <c r="G862" s="148"/>
      <c r="H862" s="148"/>
      <c r="AE862" s="4"/>
      <c r="AF862" s="4"/>
    </row>
    <row r="863" spans="5:32" ht="12.75">
      <c r="E863" s="148"/>
      <c r="F863" s="148"/>
      <c r="G863" s="148"/>
      <c r="H863" s="148"/>
      <c r="AE863" s="4"/>
      <c r="AF863" s="4"/>
    </row>
    <row r="864" spans="5:32" ht="12.75">
      <c r="E864" s="148"/>
      <c r="F864" s="148"/>
      <c r="G864" s="148"/>
      <c r="H864" s="148"/>
      <c r="AE864" s="4"/>
      <c r="AF864" s="4"/>
    </row>
    <row r="865" spans="5:32" ht="12.75">
      <c r="E865" s="148"/>
      <c r="F865" s="148"/>
      <c r="G865" s="148"/>
      <c r="H865" s="148"/>
      <c r="AE865" s="4"/>
      <c r="AF865" s="4"/>
    </row>
    <row r="866" spans="5:32" ht="12.75">
      <c r="E866" s="148"/>
      <c r="F866" s="148"/>
      <c r="G866" s="148"/>
      <c r="H866" s="148"/>
      <c r="AE866" s="4"/>
      <c r="AF866" s="4"/>
    </row>
    <row r="867" spans="5:32" ht="12.75">
      <c r="E867" s="148"/>
      <c r="F867" s="148"/>
      <c r="G867" s="148"/>
      <c r="H867" s="148"/>
      <c r="AE867" s="4"/>
      <c r="AF867" s="4"/>
    </row>
    <row r="868" spans="5:32" ht="12.75">
      <c r="E868" s="148"/>
      <c r="F868" s="148"/>
      <c r="G868" s="148"/>
      <c r="H868" s="148"/>
      <c r="AE868" s="4"/>
      <c r="AF868" s="4"/>
    </row>
    <row r="869" spans="5:32" ht="12.75">
      <c r="E869" s="148"/>
      <c r="F869" s="148"/>
      <c r="G869" s="148"/>
      <c r="H869" s="148"/>
      <c r="AE869" s="4"/>
      <c r="AF869" s="4"/>
    </row>
    <row r="870" spans="5:32" ht="12.75">
      <c r="E870" s="148"/>
      <c r="F870" s="148"/>
      <c r="G870" s="148"/>
      <c r="H870" s="148"/>
      <c r="AE870" s="4"/>
      <c r="AF870" s="4"/>
    </row>
    <row r="871" spans="5:32" ht="12.75">
      <c r="E871" s="148"/>
      <c r="F871" s="148"/>
      <c r="G871" s="148"/>
      <c r="H871" s="148"/>
      <c r="AE871" s="4"/>
      <c r="AF871" s="4"/>
    </row>
    <row r="872" spans="5:32" ht="12.75">
      <c r="E872" s="148"/>
      <c r="F872" s="148"/>
      <c r="G872" s="148"/>
      <c r="H872" s="148"/>
      <c r="AE872" s="4"/>
      <c r="AF872" s="4"/>
    </row>
    <row r="873" spans="5:32" ht="12.75">
      <c r="E873" s="148"/>
      <c r="F873" s="148"/>
      <c r="G873" s="148"/>
      <c r="H873" s="148"/>
      <c r="AE873" s="4"/>
      <c r="AF873" s="4"/>
    </row>
    <row r="874" spans="5:32" ht="12.75">
      <c r="E874" s="148"/>
      <c r="F874" s="148"/>
      <c r="G874" s="148"/>
      <c r="H874" s="148"/>
      <c r="AE874" s="4"/>
      <c r="AF874" s="4"/>
    </row>
    <row r="875" spans="5:32" ht="12.75">
      <c r="E875" s="148"/>
      <c r="F875" s="148"/>
      <c r="G875" s="148"/>
      <c r="H875" s="148"/>
      <c r="AE875" s="4"/>
      <c r="AF875" s="4"/>
    </row>
    <row r="876" spans="5:32" ht="12.75">
      <c r="E876" s="148"/>
      <c r="F876" s="148"/>
      <c r="G876" s="148"/>
      <c r="H876" s="148"/>
      <c r="AE876" s="4"/>
      <c r="AF876" s="4"/>
    </row>
    <row r="877" spans="5:32" ht="12.75">
      <c r="E877" s="148"/>
      <c r="F877" s="148"/>
      <c r="G877" s="148"/>
      <c r="H877" s="148"/>
      <c r="AE877" s="4"/>
      <c r="AF877" s="4"/>
    </row>
    <row r="878" spans="5:32" ht="12.75">
      <c r="E878" s="148"/>
      <c r="F878" s="148"/>
      <c r="G878" s="148"/>
      <c r="H878" s="148"/>
      <c r="AE878" s="4"/>
      <c r="AF878" s="4"/>
    </row>
    <row r="879" spans="5:32" ht="12.75">
      <c r="E879" s="148"/>
      <c r="F879" s="148"/>
      <c r="G879" s="148"/>
      <c r="H879" s="148"/>
      <c r="AE879" s="4"/>
      <c r="AF879" s="4"/>
    </row>
    <row r="880" spans="5:32" ht="12.75">
      <c r="E880" s="148"/>
      <c r="F880" s="148"/>
      <c r="G880" s="148"/>
      <c r="H880" s="148"/>
      <c r="AE880" s="4"/>
      <c r="AF880" s="4"/>
    </row>
    <row r="881" spans="5:32" ht="12.75">
      <c r="E881" s="148"/>
      <c r="F881" s="148"/>
      <c r="G881" s="148"/>
      <c r="H881" s="148"/>
      <c r="AE881" s="4"/>
      <c r="AF881" s="4"/>
    </row>
    <row r="882" spans="5:32" ht="12.75">
      <c r="E882" s="148"/>
      <c r="F882" s="148"/>
      <c r="G882" s="148"/>
      <c r="H882" s="148"/>
      <c r="AE882" s="4"/>
      <c r="AF882" s="4"/>
    </row>
    <row r="883" spans="5:32" ht="12.75">
      <c r="E883" s="148"/>
      <c r="F883" s="148"/>
      <c r="G883" s="148"/>
      <c r="H883" s="148"/>
      <c r="AE883" s="4"/>
      <c r="AF883" s="4"/>
    </row>
    <row r="884" spans="5:32" ht="12.75">
      <c r="E884" s="148"/>
      <c r="F884" s="148"/>
      <c r="G884" s="148"/>
      <c r="H884" s="148"/>
      <c r="AE884" s="4"/>
      <c r="AF884" s="4"/>
    </row>
    <row r="885" spans="5:32" ht="12.75">
      <c r="E885" s="148"/>
      <c r="F885" s="148"/>
      <c r="G885" s="148"/>
      <c r="H885" s="148"/>
      <c r="AE885" s="4"/>
      <c r="AF885" s="4"/>
    </row>
    <row r="886" spans="5:32" ht="12.75">
      <c r="E886" s="148"/>
      <c r="F886" s="148"/>
      <c r="G886" s="148"/>
      <c r="H886" s="148"/>
      <c r="AE886" s="4"/>
      <c r="AF886" s="4"/>
    </row>
    <row r="887" spans="5:32" ht="12.75">
      <c r="E887" s="148"/>
      <c r="F887" s="148"/>
      <c r="G887" s="148"/>
      <c r="H887" s="148"/>
      <c r="AE887" s="4"/>
      <c r="AF887" s="4"/>
    </row>
    <row r="888" spans="5:32" ht="12.75">
      <c r="E888" s="148"/>
      <c r="F888" s="148"/>
      <c r="G888" s="148"/>
      <c r="H888" s="148"/>
      <c r="AE888" s="4"/>
      <c r="AF888" s="4"/>
    </row>
    <row r="889" spans="5:32" ht="12.75">
      <c r="E889" s="148"/>
      <c r="F889" s="148"/>
      <c r="G889" s="148"/>
      <c r="H889" s="148"/>
      <c r="AE889" s="4"/>
      <c r="AF889" s="4"/>
    </row>
    <row r="890" spans="5:32" ht="12.75">
      <c r="E890" s="148"/>
      <c r="F890" s="148"/>
      <c r="G890" s="148"/>
      <c r="H890" s="148"/>
      <c r="AE890" s="4"/>
      <c r="AF890" s="4"/>
    </row>
    <row r="891" spans="5:32" ht="12.75">
      <c r="E891" s="148"/>
      <c r="F891" s="148"/>
      <c r="G891" s="148"/>
      <c r="H891" s="148"/>
      <c r="AE891" s="4"/>
      <c r="AF891" s="4"/>
    </row>
    <row r="892" spans="5:32" ht="12.75">
      <c r="E892" s="148"/>
      <c r="F892" s="148"/>
      <c r="G892" s="148"/>
      <c r="H892" s="148"/>
      <c r="AE892" s="4"/>
      <c r="AF892" s="4"/>
    </row>
    <row r="893" spans="5:32" ht="12.75">
      <c r="E893" s="148"/>
      <c r="F893" s="148"/>
      <c r="G893" s="148"/>
      <c r="H893" s="148"/>
      <c r="AE893" s="4"/>
      <c r="AF893" s="4"/>
    </row>
    <row r="894" spans="5:32" ht="12.75">
      <c r="E894" s="148"/>
      <c r="F894" s="148"/>
      <c r="G894" s="148"/>
      <c r="H894" s="148"/>
      <c r="AE894" s="4"/>
      <c r="AF894" s="4"/>
    </row>
    <row r="895" spans="5:32" ht="12.75">
      <c r="E895" s="148"/>
      <c r="F895" s="148"/>
      <c r="G895" s="148"/>
      <c r="H895" s="148"/>
      <c r="AE895" s="4"/>
      <c r="AF895" s="4"/>
    </row>
    <row r="896" spans="5:32" ht="12.75">
      <c r="E896" s="148"/>
      <c r="F896" s="148"/>
      <c r="G896" s="148"/>
      <c r="H896" s="148"/>
      <c r="AE896" s="4"/>
      <c r="AF896" s="4"/>
    </row>
    <row r="897" spans="5:32" ht="12.75">
      <c r="E897" s="148"/>
      <c r="F897" s="148"/>
      <c r="G897" s="148"/>
      <c r="H897" s="148"/>
      <c r="AE897" s="4"/>
      <c r="AF897" s="4"/>
    </row>
    <row r="898" spans="5:32" ht="12.75">
      <c r="E898" s="148"/>
      <c r="F898" s="148"/>
      <c r="G898" s="148"/>
      <c r="H898" s="148"/>
      <c r="AE898" s="4"/>
      <c r="AF898" s="4"/>
    </row>
    <row r="899" spans="5:32" ht="12.75">
      <c r="E899" s="148"/>
      <c r="F899" s="148"/>
      <c r="G899" s="148"/>
      <c r="H899" s="148"/>
      <c r="AE899" s="4"/>
      <c r="AF899" s="4"/>
    </row>
    <row r="900" spans="5:32" ht="12.75">
      <c r="E900" s="148"/>
      <c r="F900" s="148"/>
      <c r="G900" s="148"/>
      <c r="H900" s="148"/>
      <c r="AE900" s="4"/>
      <c r="AF900" s="4"/>
    </row>
    <row r="901" spans="5:32" ht="12.75">
      <c r="E901" s="148"/>
      <c r="F901" s="148"/>
      <c r="G901" s="148"/>
      <c r="H901" s="148"/>
      <c r="AE901" s="4"/>
      <c r="AF901" s="4"/>
    </row>
    <row r="902" spans="5:32" ht="12.75">
      <c r="E902" s="148"/>
      <c r="F902" s="148"/>
      <c r="G902" s="148"/>
      <c r="H902" s="148"/>
      <c r="AE902" s="4"/>
      <c r="AF902" s="4"/>
    </row>
    <row r="903" spans="5:32" ht="12.75">
      <c r="E903" s="148"/>
      <c r="F903" s="148"/>
      <c r="G903" s="148"/>
      <c r="H903" s="148"/>
      <c r="AE903" s="4"/>
      <c r="AF903" s="4"/>
    </row>
    <row r="904" spans="5:32" ht="12.75">
      <c r="E904" s="148"/>
      <c r="F904" s="148"/>
      <c r="G904" s="148"/>
      <c r="H904" s="148"/>
      <c r="AE904" s="4"/>
      <c r="AF904" s="4"/>
    </row>
    <row r="905" spans="5:32" ht="12.75">
      <c r="E905" s="148"/>
      <c r="F905" s="148"/>
      <c r="G905" s="148"/>
      <c r="H905" s="148"/>
      <c r="AE905" s="4"/>
      <c r="AF905" s="4"/>
    </row>
    <row r="906" spans="5:32" ht="12.75">
      <c r="E906" s="148"/>
      <c r="F906" s="148"/>
      <c r="G906" s="148"/>
      <c r="H906" s="148"/>
      <c r="AE906" s="4"/>
      <c r="AF906" s="4"/>
    </row>
    <row r="907" spans="5:32" ht="12.75">
      <c r="E907" s="148"/>
      <c r="F907" s="148"/>
      <c r="G907" s="148"/>
      <c r="H907" s="148"/>
      <c r="AE907" s="4"/>
      <c r="AF907" s="4"/>
    </row>
    <row r="908" spans="5:32" ht="12.75">
      <c r="E908" s="148"/>
      <c r="F908" s="148"/>
      <c r="G908" s="148"/>
      <c r="H908" s="148"/>
      <c r="AE908" s="4"/>
      <c r="AF908" s="4"/>
    </row>
    <row r="909" spans="5:32" ht="12.75">
      <c r="E909" s="148"/>
      <c r="F909" s="148"/>
      <c r="G909" s="148"/>
      <c r="H909" s="148"/>
      <c r="AE909" s="4"/>
      <c r="AF909" s="4"/>
    </row>
    <row r="910" spans="5:32" ht="12.75">
      <c r="E910" s="148"/>
      <c r="F910" s="148"/>
      <c r="G910" s="148"/>
      <c r="H910" s="148"/>
      <c r="AE910" s="4"/>
      <c r="AF910" s="4"/>
    </row>
    <row r="911" spans="5:32" ht="12.75">
      <c r="E911" s="148"/>
      <c r="F911" s="148"/>
      <c r="G911" s="148"/>
      <c r="H911" s="148"/>
      <c r="AE911" s="4"/>
      <c r="AF911" s="4"/>
    </row>
    <row r="912" spans="5:32" ht="12.75">
      <c r="E912" s="148"/>
      <c r="F912" s="148"/>
      <c r="G912" s="148"/>
      <c r="H912" s="148"/>
      <c r="AE912" s="4"/>
      <c r="AF912" s="4"/>
    </row>
    <row r="913" spans="5:32" ht="12.75">
      <c r="E913" s="148"/>
      <c r="F913" s="148"/>
      <c r="G913" s="148"/>
      <c r="H913" s="148"/>
      <c r="AE913" s="4"/>
      <c r="AF913" s="4"/>
    </row>
    <row r="914" spans="5:32" ht="12.75">
      <c r="E914" s="148"/>
      <c r="F914" s="148"/>
      <c r="G914" s="148"/>
      <c r="H914" s="148"/>
      <c r="AE914" s="4"/>
      <c r="AF914" s="4"/>
    </row>
    <row r="915" spans="5:32" ht="12.75">
      <c r="E915" s="148"/>
      <c r="F915" s="148"/>
      <c r="G915" s="148"/>
      <c r="H915" s="148"/>
      <c r="AE915" s="4"/>
      <c r="AF915" s="4"/>
    </row>
    <row r="916" spans="5:32" ht="12.75">
      <c r="E916" s="148"/>
      <c r="F916" s="148"/>
      <c r="G916" s="148"/>
      <c r="H916" s="148"/>
      <c r="AE916" s="4"/>
      <c r="AF916" s="4"/>
    </row>
    <row r="917" spans="5:32" ht="12.75">
      <c r="E917" s="148"/>
      <c r="F917" s="148"/>
      <c r="G917" s="148"/>
      <c r="H917" s="148"/>
      <c r="AE917" s="4"/>
      <c r="AF917" s="4"/>
    </row>
    <row r="918" spans="5:32" ht="12.75">
      <c r="E918" s="148"/>
      <c r="F918" s="148"/>
      <c r="G918" s="148"/>
      <c r="H918" s="148"/>
      <c r="AE918" s="4"/>
      <c r="AF918" s="4"/>
    </row>
    <row r="919" spans="5:32" ht="12.75">
      <c r="E919" s="148"/>
      <c r="F919" s="148"/>
      <c r="G919" s="148"/>
      <c r="H919" s="148"/>
      <c r="AE919" s="4"/>
      <c r="AF919" s="4"/>
    </row>
    <row r="920" spans="5:32" ht="12.75">
      <c r="E920" s="148"/>
      <c r="F920" s="148"/>
      <c r="G920" s="148"/>
      <c r="H920" s="148"/>
      <c r="AE920" s="4"/>
      <c r="AF920" s="4"/>
    </row>
    <row r="921" spans="5:32" ht="12.75">
      <c r="E921" s="148"/>
      <c r="F921" s="148"/>
      <c r="G921" s="148"/>
      <c r="H921" s="148"/>
      <c r="AE921" s="4"/>
      <c r="AF921" s="4"/>
    </row>
    <row r="922" spans="5:32" ht="12.75">
      <c r="E922" s="148"/>
      <c r="F922" s="148"/>
      <c r="G922" s="148"/>
      <c r="H922" s="148"/>
      <c r="AE922" s="4"/>
      <c r="AF922" s="4"/>
    </row>
    <row r="923" spans="5:32" ht="12.75">
      <c r="E923" s="148"/>
      <c r="F923" s="148"/>
      <c r="G923" s="148"/>
      <c r="H923" s="148"/>
      <c r="AE923" s="4"/>
      <c r="AF923" s="4"/>
    </row>
    <row r="924" spans="5:32" ht="12.75">
      <c r="E924" s="148"/>
      <c r="F924" s="148"/>
      <c r="G924" s="148"/>
      <c r="H924" s="148"/>
      <c r="AE924" s="4"/>
      <c r="AF924" s="4"/>
    </row>
    <row r="925" spans="5:32" ht="12.75">
      <c r="E925" s="148"/>
      <c r="F925" s="148"/>
      <c r="G925" s="148"/>
      <c r="H925" s="148"/>
      <c r="AE925" s="4"/>
      <c r="AF925" s="4"/>
    </row>
    <row r="926" spans="5:32" ht="12.75">
      <c r="E926" s="148"/>
      <c r="F926" s="148"/>
      <c r="G926" s="148"/>
      <c r="H926" s="148"/>
      <c r="AE926" s="4"/>
      <c r="AF926" s="4"/>
    </row>
    <row r="927" spans="5:32" ht="12.75">
      <c r="E927" s="148"/>
      <c r="F927" s="148"/>
      <c r="G927" s="148"/>
      <c r="H927" s="148"/>
      <c r="AE927" s="4"/>
      <c r="AF927" s="4"/>
    </row>
    <row r="928" spans="5:32" ht="12.75">
      <c r="E928" s="148"/>
      <c r="F928" s="148"/>
      <c r="G928" s="148"/>
      <c r="H928" s="148"/>
      <c r="AE928" s="4"/>
      <c r="AF928" s="4"/>
    </row>
    <row r="929" spans="5:32" ht="12.75">
      <c r="E929" s="148"/>
      <c r="F929" s="148"/>
      <c r="G929" s="148"/>
      <c r="H929" s="148"/>
      <c r="AE929" s="4"/>
      <c r="AF929" s="4"/>
    </row>
    <row r="930" spans="5:32" ht="12.75">
      <c r="E930" s="148"/>
      <c r="F930" s="148"/>
      <c r="G930" s="148"/>
      <c r="H930" s="148"/>
      <c r="AE930" s="4"/>
      <c r="AF930" s="4"/>
    </row>
    <row r="931" spans="5:32" ht="12.75">
      <c r="E931" s="148"/>
      <c r="F931" s="148"/>
      <c r="G931" s="148"/>
      <c r="H931" s="148"/>
      <c r="AE931" s="4"/>
      <c r="AF931" s="4"/>
    </row>
    <row r="932" spans="5:32" ht="12.75">
      <c r="E932" s="148"/>
      <c r="F932" s="148"/>
      <c r="G932" s="148"/>
      <c r="H932" s="148"/>
      <c r="AE932" s="4"/>
      <c r="AF932" s="4"/>
    </row>
    <row r="933" spans="5:32" ht="12.75">
      <c r="E933" s="148"/>
      <c r="F933" s="148"/>
      <c r="G933" s="148"/>
      <c r="H933" s="148"/>
      <c r="AE933" s="4"/>
      <c r="AF933" s="4"/>
    </row>
    <row r="934" spans="5:32" ht="12.75">
      <c r="E934" s="148"/>
      <c r="F934" s="148"/>
      <c r="G934" s="148"/>
      <c r="H934" s="148"/>
      <c r="AE934" s="4"/>
      <c r="AF934" s="4"/>
    </row>
    <row r="935" spans="5:32" ht="12.75">
      <c r="E935" s="148"/>
      <c r="F935" s="148"/>
      <c r="G935" s="148"/>
      <c r="H935" s="148"/>
      <c r="AE935" s="4"/>
      <c r="AF935" s="4"/>
    </row>
    <row r="936" spans="5:32" ht="12.75">
      <c r="E936" s="148"/>
      <c r="F936" s="148"/>
      <c r="G936" s="148"/>
      <c r="H936" s="148"/>
      <c r="AE936" s="4"/>
      <c r="AF936" s="4"/>
    </row>
    <row r="937" spans="5:32" ht="12.75">
      <c r="E937" s="148"/>
      <c r="F937" s="148"/>
      <c r="G937" s="148"/>
      <c r="H937" s="148"/>
      <c r="AE937" s="4"/>
      <c r="AF937" s="4"/>
    </row>
    <row r="938" spans="5:32" ht="12.75">
      <c r="E938" s="148"/>
      <c r="F938" s="148"/>
      <c r="G938" s="148"/>
      <c r="H938" s="148"/>
      <c r="AE938" s="4"/>
      <c r="AF938" s="4"/>
    </row>
    <row r="939" spans="5:32" ht="12.75">
      <c r="E939" s="148"/>
      <c r="F939" s="148"/>
      <c r="G939" s="148"/>
      <c r="H939" s="148"/>
      <c r="AE939" s="4"/>
      <c r="AF939" s="4"/>
    </row>
    <row r="940" spans="5:32" ht="12.75">
      <c r="E940" s="148"/>
      <c r="F940" s="148"/>
      <c r="G940" s="148"/>
      <c r="H940" s="148"/>
      <c r="AE940" s="4"/>
      <c r="AF940" s="4"/>
    </row>
    <row r="941" spans="5:32" ht="12.75">
      <c r="E941" s="148"/>
      <c r="F941" s="148"/>
      <c r="G941" s="148"/>
      <c r="H941" s="148"/>
      <c r="AE941" s="4"/>
      <c r="AF941" s="4"/>
    </row>
    <row r="942" spans="5:32" ht="12.75">
      <c r="E942" s="148"/>
      <c r="F942" s="148"/>
      <c r="G942" s="148"/>
      <c r="H942" s="148"/>
      <c r="AE942" s="4"/>
      <c r="AF942" s="4"/>
    </row>
    <row r="943" spans="5:32" ht="12.75">
      <c r="E943" s="148"/>
      <c r="F943" s="148"/>
      <c r="G943" s="148"/>
      <c r="H943" s="148"/>
      <c r="AE943" s="4"/>
      <c r="AF943" s="4"/>
    </row>
    <row r="944" spans="5:32" ht="12.75">
      <c r="E944" s="148"/>
      <c r="F944" s="148"/>
      <c r="G944" s="148"/>
      <c r="H944" s="148"/>
      <c r="AE944" s="4"/>
      <c r="AF944" s="4"/>
    </row>
    <row r="945" spans="5:32" ht="12.75">
      <c r="E945" s="148"/>
      <c r="F945" s="148"/>
      <c r="G945" s="148"/>
      <c r="H945" s="148"/>
      <c r="AE945" s="4"/>
      <c r="AF945" s="4"/>
    </row>
    <row r="946" spans="5:32" ht="12.75">
      <c r="E946" s="148"/>
      <c r="F946" s="148"/>
      <c r="G946" s="148"/>
      <c r="H946" s="148"/>
      <c r="AE946" s="4"/>
      <c r="AF946" s="4"/>
    </row>
    <row r="947" spans="5:32" ht="12.75">
      <c r="E947" s="148"/>
      <c r="F947" s="148"/>
      <c r="G947" s="148"/>
      <c r="H947" s="148"/>
      <c r="AE947" s="4"/>
      <c r="AF947" s="4"/>
    </row>
    <row r="948" spans="5:32" ht="12.75">
      <c r="E948" s="148"/>
      <c r="F948" s="148"/>
      <c r="G948" s="148"/>
      <c r="H948" s="148"/>
      <c r="AE948" s="4"/>
      <c r="AF948" s="4"/>
    </row>
    <row r="949" spans="5:32" ht="12.75">
      <c r="E949" s="148"/>
      <c r="F949" s="148"/>
      <c r="G949" s="148"/>
      <c r="H949" s="148"/>
      <c r="AE949" s="4"/>
      <c r="AF949" s="4"/>
    </row>
    <row r="950" spans="5:32" ht="12.75">
      <c r="E950" s="148"/>
      <c r="F950" s="148"/>
      <c r="G950" s="148"/>
      <c r="H950" s="148"/>
      <c r="AE950" s="4"/>
      <c r="AF950" s="4"/>
    </row>
    <row r="951" spans="5:32" ht="12.75">
      <c r="E951" s="148"/>
      <c r="F951" s="148"/>
      <c r="G951" s="148"/>
      <c r="H951" s="148"/>
      <c r="AE951" s="4"/>
      <c r="AF951" s="4"/>
    </row>
    <row r="952" spans="5:32" ht="12.75">
      <c r="E952" s="148"/>
      <c r="F952" s="148"/>
      <c r="G952" s="148"/>
      <c r="H952" s="148"/>
      <c r="AE952" s="4"/>
      <c r="AF952" s="4"/>
    </row>
    <row r="953" spans="5:32" ht="12.75">
      <c r="E953" s="148"/>
      <c r="F953" s="148"/>
      <c r="G953" s="148"/>
      <c r="H953" s="148"/>
      <c r="AE953" s="4"/>
      <c r="AF953" s="4"/>
    </row>
    <row r="954" spans="5:32" ht="12.75">
      <c r="E954" s="148"/>
      <c r="F954" s="148"/>
      <c r="G954" s="148"/>
      <c r="H954" s="148"/>
      <c r="AE954" s="4"/>
      <c r="AF954" s="4"/>
    </row>
    <row r="955" spans="5:32" ht="12.75">
      <c r="E955" s="148"/>
      <c r="F955" s="148"/>
      <c r="G955" s="148"/>
      <c r="H955" s="148"/>
      <c r="AE955" s="4"/>
      <c r="AF955" s="4"/>
    </row>
    <row r="956" spans="5:32" ht="12.75">
      <c r="E956" s="148"/>
      <c r="F956" s="148"/>
      <c r="G956" s="148"/>
      <c r="H956" s="148"/>
      <c r="AE956" s="4"/>
      <c r="AF956" s="4"/>
    </row>
    <row r="957" spans="5:32" ht="12.75">
      <c r="E957" s="148"/>
      <c r="F957" s="148"/>
      <c r="G957" s="148"/>
      <c r="H957" s="148"/>
      <c r="AE957" s="4"/>
      <c r="AF957" s="4"/>
    </row>
    <row r="958" spans="5:32" ht="12.75">
      <c r="E958" s="148"/>
      <c r="F958" s="148"/>
      <c r="G958" s="148"/>
      <c r="H958" s="148"/>
      <c r="AE958" s="4"/>
      <c r="AF958" s="4"/>
    </row>
    <row r="959" spans="5:32" ht="12.75">
      <c r="E959" s="148"/>
      <c r="F959" s="148"/>
      <c r="G959" s="148"/>
      <c r="H959" s="148"/>
      <c r="AE959" s="4"/>
      <c r="AF959" s="4"/>
    </row>
    <row r="960" spans="5:32" ht="12.75">
      <c r="E960" s="148"/>
      <c r="F960" s="148"/>
      <c r="G960" s="148"/>
      <c r="H960" s="148"/>
      <c r="AE960" s="4"/>
      <c r="AF960" s="4"/>
    </row>
    <row r="961" spans="5:32" ht="12.75">
      <c r="E961" s="148"/>
      <c r="F961" s="148"/>
      <c r="G961" s="148"/>
      <c r="H961" s="148"/>
      <c r="AE961" s="4"/>
      <c r="AF961" s="4"/>
    </row>
    <row r="962" spans="5:32" ht="12.75">
      <c r="E962" s="148"/>
      <c r="F962" s="148"/>
      <c r="G962" s="148"/>
      <c r="H962" s="148"/>
      <c r="AE962" s="4"/>
      <c r="AF962" s="4"/>
    </row>
    <row r="963" spans="5:32" ht="12.75">
      <c r="E963" s="148"/>
      <c r="F963" s="148"/>
      <c r="G963" s="148"/>
      <c r="H963" s="148"/>
      <c r="AE963" s="4"/>
      <c r="AF963" s="4"/>
    </row>
    <row r="964" spans="5:32" ht="12.75">
      <c r="E964" s="148"/>
      <c r="F964" s="148"/>
      <c r="G964" s="148"/>
      <c r="H964" s="148"/>
      <c r="AE964" s="4"/>
      <c r="AF964" s="4"/>
    </row>
    <row r="965" spans="5:32" ht="12.75">
      <c r="E965" s="148"/>
      <c r="F965" s="148"/>
      <c r="G965" s="148"/>
      <c r="H965" s="148"/>
      <c r="AE965" s="4"/>
      <c r="AF965" s="4"/>
    </row>
    <row r="966" spans="5:32" ht="12.75">
      <c r="E966" s="148"/>
      <c r="F966" s="148"/>
      <c r="G966" s="148"/>
      <c r="H966" s="148"/>
      <c r="AE966" s="4"/>
      <c r="AF966" s="4"/>
    </row>
    <row r="967" spans="5:32" ht="12.75">
      <c r="E967" s="148"/>
      <c r="F967" s="148"/>
      <c r="G967" s="148"/>
      <c r="H967" s="148"/>
      <c r="AE967" s="4"/>
      <c r="AF967" s="4"/>
    </row>
    <row r="968" spans="5:32" ht="12.75">
      <c r="E968" s="148"/>
      <c r="F968" s="148"/>
      <c r="G968" s="148"/>
      <c r="H968" s="148"/>
      <c r="AE968" s="4"/>
      <c r="AF968" s="4"/>
    </row>
    <row r="969" spans="5:32" ht="12.75">
      <c r="E969" s="148"/>
      <c r="F969" s="148"/>
      <c r="G969" s="148"/>
      <c r="H969" s="148"/>
      <c r="AE969" s="4"/>
      <c r="AF969" s="4"/>
    </row>
    <row r="970" spans="5:32" ht="12.75">
      <c r="E970" s="148"/>
      <c r="F970" s="148"/>
      <c r="G970" s="148"/>
      <c r="H970" s="148"/>
      <c r="AE970" s="4"/>
      <c r="AF970" s="4"/>
    </row>
    <row r="971" spans="5:32" ht="12.75">
      <c r="E971" s="148"/>
      <c r="F971" s="148"/>
      <c r="G971" s="148"/>
      <c r="H971" s="148"/>
      <c r="AE971" s="4"/>
      <c r="AF971" s="4"/>
    </row>
    <row r="972" spans="5:32" ht="12.75">
      <c r="E972" s="148"/>
      <c r="F972" s="148"/>
      <c r="G972" s="148"/>
      <c r="H972" s="148"/>
      <c r="AE972" s="4"/>
      <c r="AF972" s="4"/>
    </row>
    <row r="973" spans="5:32" ht="12.75">
      <c r="E973" s="148"/>
      <c r="F973" s="148"/>
      <c r="G973" s="148"/>
      <c r="H973" s="148"/>
      <c r="AE973" s="4"/>
      <c r="AF973" s="4"/>
    </row>
    <row r="974" spans="5:32" ht="12.75">
      <c r="E974" s="148"/>
      <c r="F974" s="148"/>
      <c r="G974" s="148"/>
      <c r="H974" s="148"/>
      <c r="AE974" s="4"/>
      <c r="AF974" s="4"/>
    </row>
    <row r="975" spans="5:32" ht="12.75">
      <c r="E975" s="148"/>
      <c r="F975" s="148"/>
      <c r="G975" s="148"/>
      <c r="H975" s="148"/>
      <c r="AE975" s="4"/>
      <c r="AF975" s="4"/>
    </row>
    <row r="976" spans="5:32" ht="12.75">
      <c r="E976" s="148"/>
      <c r="F976" s="148"/>
      <c r="G976" s="148"/>
      <c r="H976" s="148"/>
      <c r="AE976" s="4"/>
      <c r="AF976" s="4"/>
    </row>
    <row r="977" spans="5:32" ht="12.75">
      <c r="E977" s="148"/>
      <c r="F977" s="148"/>
      <c r="G977" s="148"/>
      <c r="H977" s="148"/>
      <c r="AE977" s="4"/>
      <c r="AF977" s="4"/>
    </row>
    <row r="978" spans="5:32" ht="12.75">
      <c r="E978" s="148"/>
      <c r="F978" s="148"/>
      <c r="G978" s="148"/>
      <c r="H978" s="148"/>
      <c r="AE978" s="4"/>
      <c r="AF978" s="4"/>
    </row>
    <row r="979" spans="5:32" ht="12.75">
      <c r="E979" s="148"/>
      <c r="F979" s="148"/>
      <c r="G979" s="148"/>
      <c r="H979" s="148"/>
      <c r="AE979" s="4"/>
      <c r="AF979" s="4"/>
    </row>
    <row r="980" spans="5:32" ht="12.75">
      <c r="E980" s="148"/>
      <c r="F980" s="148"/>
      <c r="G980" s="148"/>
      <c r="H980" s="148"/>
      <c r="AE980" s="4"/>
      <c r="AF980" s="4"/>
    </row>
    <row r="981" spans="5:32" ht="12.75">
      <c r="E981" s="148"/>
      <c r="F981" s="148"/>
      <c r="G981" s="148"/>
      <c r="H981" s="148"/>
      <c r="AE981" s="4"/>
      <c r="AF981" s="4"/>
    </row>
    <row r="982" spans="5:32" ht="12.75">
      <c r="E982" s="148"/>
      <c r="F982" s="148"/>
      <c r="G982" s="148"/>
      <c r="H982" s="148"/>
      <c r="AE982" s="4"/>
      <c r="AF982" s="4"/>
    </row>
    <row r="983" spans="5:32" ht="12.75">
      <c r="E983" s="148"/>
      <c r="F983" s="148"/>
      <c r="G983" s="148"/>
      <c r="H983" s="148"/>
      <c r="AE983" s="4"/>
      <c r="AF983" s="4"/>
    </row>
    <row r="984" spans="5:32" ht="12.75">
      <c r="E984" s="148"/>
      <c r="F984" s="148"/>
      <c r="G984" s="148"/>
      <c r="H984" s="148"/>
      <c r="AE984" s="4"/>
      <c r="AF984" s="4"/>
    </row>
    <row r="985" spans="5:32" ht="12.75">
      <c r="E985" s="148"/>
      <c r="F985" s="148"/>
      <c r="G985" s="148"/>
      <c r="H985" s="148"/>
      <c r="AE985" s="4"/>
      <c r="AF985" s="4"/>
    </row>
    <row r="986" spans="5:32" ht="12.75">
      <c r="E986" s="148"/>
      <c r="F986" s="148"/>
      <c r="G986" s="148"/>
      <c r="H986" s="148"/>
      <c r="AE986" s="4"/>
      <c r="AF986" s="4"/>
    </row>
    <row r="987" spans="5:32" ht="12.75">
      <c r="E987" s="148"/>
      <c r="F987" s="148"/>
      <c r="G987" s="148"/>
      <c r="H987" s="148"/>
      <c r="AE987" s="4"/>
      <c r="AF987" s="4"/>
    </row>
    <row r="988" spans="5:32" ht="12.75">
      <c r="E988" s="148"/>
      <c r="F988" s="148"/>
      <c r="G988" s="148"/>
      <c r="H988" s="148"/>
      <c r="AE988" s="4"/>
      <c r="AF988" s="4"/>
    </row>
    <row r="989" spans="5:32" ht="12.75">
      <c r="E989" s="148"/>
      <c r="F989" s="148"/>
      <c r="G989" s="148"/>
      <c r="H989" s="148"/>
      <c r="AE989" s="4"/>
      <c r="AF989" s="4"/>
    </row>
    <row r="990" spans="5:32" ht="12.75">
      <c r="E990" s="148"/>
      <c r="F990" s="148"/>
      <c r="G990" s="148"/>
      <c r="H990" s="148"/>
      <c r="AE990" s="4"/>
      <c r="AF990" s="4"/>
    </row>
    <row r="991" spans="5:32" ht="12.75">
      <c r="E991" s="148"/>
      <c r="F991" s="148"/>
      <c r="G991" s="148"/>
      <c r="H991" s="148"/>
      <c r="AE991" s="4"/>
      <c r="AF991" s="4"/>
    </row>
    <row r="992" spans="5:32" ht="12.75">
      <c r="E992" s="148"/>
      <c r="F992" s="148"/>
      <c r="G992" s="148"/>
      <c r="H992" s="148"/>
      <c r="AE992" s="4"/>
      <c r="AF992" s="4"/>
    </row>
    <row r="993" spans="5:32" ht="12.75">
      <c r="E993" s="148"/>
      <c r="F993" s="148"/>
      <c r="G993" s="148"/>
      <c r="H993" s="148"/>
      <c r="AE993" s="4"/>
      <c r="AF993" s="4"/>
    </row>
  </sheetData>
  <mergeCells count="27">
    <mergeCell ref="J47:K47"/>
    <mergeCell ref="J13:K13"/>
    <mergeCell ref="J14:K14"/>
    <mergeCell ref="I18:K18"/>
    <mergeCell ref="J19:J21"/>
    <mergeCell ref="J22:J24"/>
    <mergeCell ref="J26:K26"/>
    <mergeCell ref="I29:K29"/>
    <mergeCell ref="I19:I25"/>
    <mergeCell ref="I30:I36"/>
    <mergeCell ref="I40:I46"/>
    <mergeCell ref="J30:J32"/>
    <mergeCell ref="J33:J35"/>
    <mergeCell ref="J37:K37"/>
    <mergeCell ref="I39:K39"/>
    <mergeCell ref="J40:J42"/>
    <mergeCell ref="J43:J45"/>
    <mergeCell ref="J6:J8"/>
    <mergeCell ref="J9:J11"/>
    <mergeCell ref="A5:B5"/>
    <mergeCell ref="I5:K5"/>
    <mergeCell ref="A6:A8"/>
    <mergeCell ref="D6:D8"/>
    <mergeCell ref="I6:I15"/>
    <mergeCell ref="A9:A11"/>
    <mergeCell ref="D9:D11"/>
    <mergeCell ref="J15:K15"/>
  </mergeCells>
  <phoneticPr fontId="86" type="noConversion"/>
  <conditionalFormatting sqref="L30:AE36 X40:AE46 B34:C36 D36 L46:W46">
    <cfRule type="cellIs" dxfId="24" priority="2" operator="lessThan">
      <formula>0</formula>
    </cfRule>
  </conditionalFormatting>
  <conditionalFormatting sqref="L40:AE46">
    <cfRule type="colorScale" priority="3">
      <colorScale>
        <cfvo type="formula" val="0"/>
        <cfvo type="formula" val="3"/>
        <cfvo type="formula" val="10"/>
        <color rgb="FF9FC5E8"/>
        <color rgb="FFFFFFFF"/>
        <color rgb="FFE67C73"/>
      </colorScale>
    </cfRule>
  </conditionalFormatting>
  <conditionalFormatting sqref="M30:AE35 X40:AA46 AD40:AE46">
    <cfRule type="cellIs" dxfId="23" priority="1" operator="lessThanOrEqual">
      <formula>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8AC6"/>
    <outlinePr summaryBelow="0" summaryRight="0"/>
  </sheetPr>
  <dimension ref="A1:AF993"/>
  <sheetViews>
    <sheetView workbookViewId="0">
      <selection activeCell="O26" sqref="A19:O26"/>
    </sheetView>
  </sheetViews>
  <sheetFormatPr defaultColWidth="14.42578125" defaultRowHeight="15.75" customHeight="1" outlineLevelRow="1"/>
  <cols>
    <col min="9" max="9" width="15.42578125" customWidth="1"/>
    <col min="11" max="20" width="14.42578125" customWidth="1"/>
  </cols>
  <sheetData>
    <row r="1" spans="1:32">
      <c r="A1" s="1"/>
      <c r="B1" s="1"/>
      <c r="C1" s="1"/>
      <c r="D1" s="1"/>
      <c r="E1" s="2"/>
      <c r="F1" s="2"/>
      <c r="G1" s="2"/>
      <c r="H1" s="2"/>
      <c r="I1" s="1"/>
      <c r="J1" s="3"/>
      <c r="K1" s="3"/>
      <c r="AE1" s="4"/>
      <c r="AF1" s="4"/>
    </row>
    <row r="2" spans="1:32" ht="15.75" customHeight="1">
      <c r="A2" s="1"/>
      <c r="B2" s="1"/>
      <c r="C2" s="1"/>
      <c r="D2" s="1"/>
      <c r="E2" s="2"/>
      <c r="F2" s="2"/>
      <c r="G2" s="2"/>
      <c r="H2" s="2"/>
      <c r="I2" s="5" t="s">
        <v>58</v>
      </c>
      <c r="J2" s="3"/>
      <c r="K2" s="3"/>
      <c r="V2" s="7">
        <f>7680/4</f>
        <v>1920</v>
      </c>
      <c r="W2" s="7">
        <f>4800*4</f>
        <v>19200</v>
      </c>
      <c r="Y2" s="7">
        <v>12848</v>
      </c>
      <c r="Z2" s="7">
        <f>24896/4</f>
        <v>6224</v>
      </c>
      <c r="AE2" s="4"/>
      <c r="AF2" s="4"/>
    </row>
    <row r="3" spans="1:32">
      <c r="A3" s="1"/>
      <c r="B3" s="1"/>
      <c r="C3" s="1"/>
      <c r="D3" s="1"/>
      <c r="E3" s="2"/>
      <c r="F3" s="2"/>
      <c r="G3" s="2"/>
      <c r="H3" s="2"/>
      <c r="I3" s="6"/>
      <c r="J3" s="3"/>
      <c r="K3" s="3"/>
      <c r="V3" s="7">
        <f>V2*4</f>
        <v>7680</v>
      </c>
      <c r="Y3" s="7">
        <f>Y2*4</f>
        <v>51392</v>
      </c>
      <c r="AE3" s="4"/>
      <c r="AF3" s="4"/>
    </row>
    <row r="4" spans="1:32">
      <c r="A4" s="1"/>
      <c r="B4" s="1"/>
      <c r="C4" s="1"/>
      <c r="D4" s="1"/>
      <c r="E4" s="2" t="s">
        <v>4</v>
      </c>
      <c r="F4" s="2"/>
      <c r="G4" s="2"/>
      <c r="H4" s="2"/>
      <c r="I4" s="6">
        <v>1750</v>
      </c>
      <c r="J4" s="3"/>
      <c r="K4" s="3"/>
      <c r="P4" s="7">
        <v>2026</v>
      </c>
      <c r="U4" s="8"/>
      <c r="AA4" s="7"/>
      <c r="AE4" s="4"/>
      <c r="AF4" s="4"/>
    </row>
    <row r="5" spans="1:32">
      <c r="A5" s="1"/>
      <c r="B5" s="1"/>
      <c r="C5" s="150" t="s">
        <v>7</v>
      </c>
      <c r="D5" s="1"/>
      <c r="E5" s="2" t="s">
        <v>9</v>
      </c>
      <c r="F5" s="2" t="s">
        <v>10</v>
      </c>
      <c r="G5" s="2" t="s">
        <v>59</v>
      </c>
      <c r="H5" s="151" t="s">
        <v>12</v>
      </c>
      <c r="I5" s="861" t="s">
        <v>13</v>
      </c>
      <c r="J5" s="862"/>
      <c r="K5" s="863"/>
      <c r="L5" s="14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6" t="s">
        <v>24</v>
      </c>
      <c r="W5" s="15" t="s">
        <v>25</v>
      </c>
      <c r="X5" s="15" t="s">
        <v>26</v>
      </c>
      <c r="Y5" s="15" t="s">
        <v>15</v>
      </c>
      <c r="Z5" s="15" t="s">
        <v>16</v>
      </c>
      <c r="AA5" s="15" t="s">
        <v>17</v>
      </c>
      <c r="AB5" s="16" t="s">
        <v>18</v>
      </c>
      <c r="AC5" s="18" t="s">
        <v>19</v>
      </c>
      <c r="AD5" s="18" t="s">
        <v>20</v>
      </c>
      <c r="AE5" s="18" t="s">
        <v>21</v>
      </c>
      <c r="AF5" s="18" t="s">
        <v>22</v>
      </c>
    </row>
    <row r="6" spans="1:32">
      <c r="A6" s="864" t="s">
        <v>27</v>
      </c>
      <c r="B6" s="78">
        <v>1</v>
      </c>
      <c r="C6" s="152">
        <v>0</v>
      </c>
      <c r="D6" s="887">
        <f>SUM(C6:C8)</f>
        <v>0</v>
      </c>
      <c r="E6" s="2">
        <f>D6/22</f>
        <v>0</v>
      </c>
      <c r="F6" s="2"/>
      <c r="G6" s="2">
        <v>1500</v>
      </c>
      <c r="H6" s="153">
        <f t="shared" ref="H6:H11" si="0">AA6/4</f>
        <v>0</v>
      </c>
      <c r="I6" s="868" t="s">
        <v>28</v>
      </c>
      <c r="J6" s="883" t="s">
        <v>27</v>
      </c>
      <c r="K6" s="26">
        <v>1</v>
      </c>
      <c r="L6" s="28">
        <v>12308</v>
      </c>
      <c r="M6" s="29"/>
      <c r="N6" s="29">
        <v>6072</v>
      </c>
      <c r="O6" s="29">
        <v>7488</v>
      </c>
      <c r="P6" s="29">
        <v>11520</v>
      </c>
      <c r="Q6" s="29"/>
      <c r="R6" s="29">
        <v>11948</v>
      </c>
      <c r="S6" s="29"/>
      <c r="T6" s="29">
        <v>44008</v>
      </c>
      <c r="U6" s="29">
        <v>11572</v>
      </c>
      <c r="V6" s="30">
        <f>13320</f>
        <v>13320</v>
      </c>
      <c r="W6" s="29"/>
      <c r="X6" s="29"/>
      <c r="Y6" s="29"/>
      <c r="Z6" s="29">
        <v>12672</v>
      </c>
      <c r="AA6" s="29">
        <f t="shared" ref="AA6:AA8" si="1">144*4*C6</f>
        <v>0</v>
      </c>
      <c r="AB6" s="30">
        <v>18000</v>
      </c>
      <c r="AC6" s="34">
        <v>12000</v>
      </c>
      <c r="AD6" s="36"/>
      <c r="AE6" s="37"/>
      <c r="AF6" s="37"/>
    </row>
    <row r="7" spans="1:32">
      <c r="A7" s="865"/>
      <c r="B7" s="78">
        <v>2</v>
      </c>
      <c r="C7" s="154">
        <v>0</v>
      </c>
      <c r="D7" s="869"/>
      <c r="E7" s="2"/>
      <c r="F7" s="2"/>
      <c r="G7" s="2">
        <v>1500</v>
      </c>
      <c r="H7" s="153">
        <f t="shared" si="0"/>
        <v>0</v>
      </c>
      <c r="I7" s="869"/>
      <c r="J7" s="884"/>
      <c r="K7" s="26">
        <v>2</v>
      </c>
      <c r="L7" s="28">
        <v>5948</v>
      </c>
      <c r="M7" s="29">
        <v>6336</v>
      </c>
      <c r="N7" s="29">
        <v>432</v>
      </c>
      <c r="O7" s="29">
        <v>6252</v>
      </c>
      <c r="P7" s="29">
        <v>1152</v>
      </c>
      <c r="Q7" s="29"/>
      <c r="R7" s="38">
        <v>7080</v>
      </c>
      <c r="S7" s="39">
        <v>6336</v>
      </c>
      <c r="T7" s="39">
        <v>8064</v>
      </c>
      <c r="U7" s="39"/>
      <c r="V7" s="40">
        <v>17088</v>
      </c>
      <c r="W7" s="39">
        <v>6772</v>
      </c>
      <c r="X7" s="29"/>
      <c r="Y7" s="29"/>
      <c r="Z7" s="39"/>
      <c r="AA7" s="39">
        <f t="shared" si="1"/>
        <v>0</v>
      </c>
      <c r="AB7" s="30"/>
      <c r="AC7" s="36"/>
      <c r="AD7" s="36"/>
      <c r="AE7" s="37"/>
      <c r="AF7" s="37"/>
    </row>
    <row r="8" spans="1:32">
      <c r="A8" s="866"/>
      <c r="B8" s="78">
        <v>3</v>
      </c>
      <c r="C8" s="154">
        <v>0</v>
      </c>
      <c r="D8" s="870"/>
      <c r="E8" s="2"/>
      <c r="F8" s="2"/>
      <c r="G8" s="2">
        <v>1500</v>
      </c>
      <c r="H8" s="153">
        <f t="shared" si="0"/>
        <v>0</v>
      </c>
      <c r="I8" s="869"/>
      <c r="J8" s="885"/>
      <c r="K8" s="47">
        <v>3</v>
      </c>
      <c r="L8" s="28"/>
      <c r="M8" s="29">
        <v>6212</v>
      </c>
      <c r="N8" s="29"/>
      <c r="O8" s="29"/>
      <c r="P8" s="29"/>
      <c r="Q8" s="29"/>
      <c r="R8" s="29"/>
      <c r="S8" s="29"/>
      <c r="T8" s="29">
        <v>6912</v>
      </c>
      <c r="U8" s="29"/>
      <c r="V8" s="30">
        <v>332</v>
      </c>
      <c r="W8" s="29">
        <v>5760</v>
      </c>
      <c r="X8" s="29"/>
      <c r="Y8" s="29"/>
      <c r="Z8" s="29"/>
      <c r="AA8" s="29">
        <f t="shared" si="1"/>
        <v>0</v>
      </c>
      <c r="AB8" s="30">
        <v>6000</v>
      </c>
      <c r="AC8" s="36"/>
      <c r="AD8" s="36"/>
      <c r="AE8" s="37"/>
      <c r="AF8" s="37"/>
    </row>
    <row r="9" spans="1:32">
      <c r="A9" s="871" t="s">
        <v>32</v>
      </c>
      <c r="B9" s="155">
        <v>1</v>
      </c>
      <c r="C9" s="156">
        <v>74</v>
      </c>
      <c r="D9" s="888">
        <f>SUM(C9:C11)</f>
        <v>114</v>
      </c>
      <c r="E9" s="2">
        <f>(D9-18)/24+1</f>
        <v>5</v>
      </c>
      <c r="F9" s="2"/>
      <c r="G9" s="2">
        <v>2120</v>
      </c>
      <c r="H9" s="153">
        <f t="shared" si="0"/>
        <v>7104</v>
      </c>
      <c r="I9" s="869"/>
      <c r="J9" s="886" t="s">
        <v>32</v>
      </c>
      <c r="K9" s="53">
        <v>1</v>
      </c>
      <c r="L9" s="28">
        <v>9216</v>
      </c>
      <c r="M9" s="29">
        <v>16512</v>
      </c>
      <c r="N9" s="29">
        <v>24300</v>
      </c>
      <c r="O9" s="29"/>
      <c r="P9" s="29">
        <v>60572</v>
      </c>
      <c r="Q9" s="29">
        <v>21560</v>
      </c>
      <c r="R9" s="29">
        <v>23808</v>
      </c>
      <c r="S9" s="29"/>
      <c r="T9" s="29">
        <v>39428</v>
      </c>
      <c r="U9" s="29">
        <v>20880</v>
      </c>
      <c r="V9" s="30">
        <v>14968</v>
      </c>
      <c r="W9" s="55">
        <f>31192+19200</f>
        <v>50392</v>
      </c>
      <c r="X9" s="55">
        <v>38400</v>
      </c>
      <c r="Y9" s="29">
        <f>39552-19200</f>
        <v>20352</v>
      </c>
      <c r="Z9" s="29">
        <f>48000*2-38400</f>
        <v>57600</v>
      </c>
      <c r="AA9" s="29">
        <f t="shared" ref="AA9:AA11" si="2">96*4*C9</f>
        <v>28416</v>
      </c>
      <c r="AB9" s="30">
        <v>26000</v>
      </c>
      <c r="AC9" s="36"/>
      <c r="AD9" s="36"/>
      <c r="AE9" s="37"/>
      <c r="AF9" s="37"/>
    </row>
    <row r="10" spans="1:32">
      <c r="A10" s="865"/>
      <c r="B10" s="155">
        <v>2</v>
      </c>
      <c r="C10" s="156">
        <v>29</v>
      </c>
      <c r="D10" s="869"/>
      <c r="E10" s="2"/>
      <c r="F10" s="2"/>
      <c r="G10" s="2">
        <v>2280</v>
      </c>
      <c r="H10" s="153">
        <f t="shared" si="0"/>
        <v>2784</v>
      </c>
      <c r="I10" s="869"/>
      <c r="J10" s="884"/>
      <c r="K10" s="53">
        <v>2</v>
      </c>
      <c r="L10" s="28"/>
      <c r="M10" s="29"/>
      <c r="N10" s="29">
        <v>12432</v>
      </c>
      <c r="O10" s="29"/>
      <c r="P10" s="29">
        <v>30336</v>
      </c>
      <c r="Q10" s="29">
        <v>21584</v>
      </c>
      <c r="R10" s="29"/>
      <c r="S10" s="39">
        <v>6528</v>
      </c>
      <c r="T10" s="39"/>
      <c r="U10" s="39"/>
      <c r="V10" s="40">
        <f>27648</f>
        <v>27648</v>
      </c>
      <c r="W10" s="55">
        <f>7680+21288</f>
        <v>28968</v>
      </c>
      <c r="X10" s="55">
        <v>21120</v>
      </c>
      <c r="Y10" s="55">
        <f>19200-7680</f>
        <v>11520</v>
      </c>
      <c r="Z10" s="55">
        <f>24896*2-21120</f>
        <v>28672</v>
      </c>
      <c r="AA10" s="39">
        <f t="shared" si="2"/>
        <v>11136</v>
      </c>
      <c r="AB10" s="30">
        <v>18000</v>
      </c>
      <c r="AC10" s="36"/>
      <c r="AD10" s="36"/>
      <c r="AE10" s="37"/>
      <c r="AF10" s="37"/>
    </row>
    <row r="11" spans="1:32">
      <c r="A11" s="866"/>
      <c r="B11" s="155">
        <v>3</v>
      </c>
      <c r="C11" s="157">
        <v>11</v>
      </c>
      <c r="D11" s="870"/>
      <c r="E11" s="2"/>
      <c r="F11" s="2"/>
      <c r="G11" s="2">
        <v>1880</v>
      </c>
      <c r="H11" s="158">
        <f t="shared" si="0"/>
        <v>1056</v>
      </c>
      <c r="I11" s="869"/>
      <c r="J11" s="885"/>
      <c r="K11" s="57">
        <v>3</v>
      </c>
      <c r="L11" s="28"/>
      <c r="M11" s="29"/>
      <c r="N11" s="29">
        <v>8832</v>
      </c>
      <c r="O11" s="29"/>
      <c r="P11" s="29">
        <v>232</v>
      </c>
      <c r="Q11" s="29">
        <v>10688</v>
      </c>
      <c r="R11" s="29"/>
      <c r="S11" s="29"/>
      <c r="T11" s="29"/>
      <c r="U11" s="29"/>
      <c r="V11" s="30">
        <v>3072</v>
      </c>
      <c r="W11" s="38">
        <f>2424+1520</f>
        <v>3944</v>
      </c>
      <c r="X11" s="39"/>
      <c r="Y11" s="39"/>
      <c r="Z11" s="29">
        <v>7520</v>
      </c>
      <c r="AA11" s="29">
        <f t="shared" si="2"/>
        <v>4224</v>
      </c>
      <c r="AB11" s="30">
        <v>3000</v>
      </c>
      <c r="AC11" s="36"/>
      <c r="AD11" s="36"/>
      <c r="AE11" s="37"/>
      <c r="AF11" s="37"/>
    </row>
    <row r="12" spans="1:32">
      <c r="A12" s="1"/>
      <c r="B12" s="1"/>
      <c r="C12" s="1"/>
      <c r="D12" s="1"/>
      <c r="E12" s="2"/>
      <c r="F12" s="2"/>
      <c r="G12" s="2"/>
      <c r="H12" s="2"/>
      <c r="I12" s="869"/>
      <c r="J12" s="60" t="s">
        <v>37</v>
      </c>
      <c r="K12" s="59" t="s">
        <v>36</v>
      </c>
      <c r="L12" s="28"/>
      <c r="M12" s="29"/>
      <c r="N12" s="29"/>
      <c r="O12" s="29">
        <v>6912</v>
      </c>
      <c r="P12" s="29"/>
      <c r="Q12" s="29">
        <v>5208</v>
      </c>
      <c r="R12" s="29"/>
      <c r="S12" s="29"/>
      <c r="T12" s="29">
        <v>11628</v>
      </c>
      <c r="U12" s="29">
        <v>11796</v>
      </c>
      <c r="V12" s="30"/>
      <c r="W12" s="29"/>
      <c r="X12" s="29"/>
      <c r="Y12" s="29"/>
      <c r="Z12" s="29"/>
      <c r="AA12" s="29"/>
      <c r="AB12" s="30"/>
      <c r="AC12" s="36"/>
      <c r="AD12" s="36"/>
      <c r="AE12" s="37"/>
      <c r="AF12" s="37"/>
    </row>
    <row r="13" spans="1:32">
      <c r="A13" s="1"/>
      <c r="B13" s="1"/>
      <c r="C13" s="7" t="s">
        <v>60</v>
      </c>
      <c r="D13" s="1"/>
      <c r="E13" s="2"/>
      <c r="F13" s="2"/>
      <c r="G13" s="2"/>
      <c r="H13" s="2"/>
      <c r="I13" s="869"/>
      <c r="J13" s="873" t="s">
        <v>38</v>
      </c>
      <c r="K13" s="870"/>
      <c r="L13" s="61">
        <f t="shared" ref="L13:AF13" si="3">SUM(L6:L12)</f>
        <v>27472</v>
      </c>
      <c r="M13" s="61">
        <f t="shared" si="3"/>
        <v>29060</v>
      </c>
      <c r="N13" s="61">
        <f t="shared" si="3"/>
        <v>52068</v>
      </c>
      <c r="O13" s="61">
        <f t="shared" si="3"/>
        <v>20652</v>
      </c>
      <c r="P13" s="61">
        <f t="shared" si="3"/>
        <v>103812</v>
      </c>
      <c r="Q13" s="61">
        <f t="shared" si="3"/>
        <v>59040</v>
      </c>
      <c r="R13" s="61">
        <f t="shared" si="3"/>
        <v>42836</v>
      </c>
      <c r="S13" s="61">
        <f t="shared" si="3"/>
        <v>12864</v>
      </c>
      <c r="T13" s="61">
        <f t="shared" si="3"/>
        <v>110040</v>
      </c>
      <c r="U13" s="61">
        <f t="shared" si="3"/>
        <v>44248</v>
      </c>
      <c r="V13" s="62">
        <f t="shared" si="3"/>
        <v>76428</v>
      </c>
      <c r="W13" s="61">
        <f t="shared" si="3"/>
        <v>95836</v>
      </c>
      <c r="X13" s="61">
        <f t="shared" si="3"/>
        <v>59520</v>
      </c>
      <c r="Y13" s="61">
        <f t="shared" si="3"/>
        <v>31872</v>
      </c>
      <c r="Z13" s="61">
        <f t="shared" si="3"/>
        <v>106464</v>
      </c>
      <c r="AA13" s="61">
        <f t="shared" si="3"/>
        <v>43776</v>
      </c>
      <c r="AB13" s="62">
        <f t="shared" si="3"/>
        <v>71000</v>
      </c>
      <c r="AC13" s="65">
        <f t="shared" si="3"/>
        <v>12000</v>
      </c>
      <c r="AD13" s="65">
        <f t="shared" si="3"/>
        <v>0</v>
      </c>
      <c r="AE13" s="66">
        <f t="shared" si="3"/>
        <v>0</v>
      </c>
      <c r="AF13" s="66">
        <f t="shared" si="3"/>
        <v>0</v>
      </c>
    </row>
    <row r="14" spans="1:32">
      <c r="A14" s="1"/>
      <c r="B14" s="1"/>
      <c r="D14" s="1"/>
      <c r="E14" s="2"/>
      <c r="F14" s="2"/>
      <c r="G14" s="2"/>
      <c r="H14" s="2"/>
      <c r="I14" s="869"/>
      <c r="J14" s="873" t="s">
        <v>39</v>
      </c>
      <c r="K14" s="870"/>
      <c r="L14" s="68">
        <f>금액!E11</f>
        <v>445720200.15999997</v>
      </c>
      <c r="M14" s="68">
        <f>금액!F11</f>
        <v>306576478.99999994</v>
      </c>
      <c r="N14" s="68">
        <f>금액!G11</f>
        <v>159696992.04000002</v>
      </c>
      <c r="O14" s="68">
        <f>금액!H11</f>
        <v>335394437.64000005</v>
      </c>
      <c r="P14" s="68">
        <f>금액!I11</f>
        <v>311194418.75999999</v>
      </c>
      <c r="Q14" s="68">
        <f>금액!J11</f>
        <v>1208753.52</v>
      </c>
      <c r="R14" s="68">
        <f>금액!K11</f>
        <v>464871513.08000004</v>
      </c>
      <c r="S14" s="68">
        <f>금액!L11</f>
        <v>154764443.52000001</v>
      </c>
      <c r="T14" s="68">
        <f>금액!M11</f>
        <v>1440435218.9199998</v>
      </c>
      <c r="U14" s="68">
        <f>금액!N11</f>
        <v>1118482806.28</v>
      </c>
      <c r="V14" s="69">
        <f>금액!O11</f>
        <v>2579325212.9200001</v>
      </c>
      <c r="W14" s="68">
        <f>금액!P11</f>
        <v>3640946104.1200004</v>
      </c>
      <c r="X14" s="68">
        <f>금액!Q11</f>
        <v>2382909388.8000002</v>
      </c>
      <c r="Y14" s="68">
        <f>금액!R11</f>
        <v>1276009543.6800001</v>
      </c>
      <c r="Z14" s="68">
        <f>금액!S11</f>
        <v>4064254391.04</v>
      </c>
      <c r="AA14" s="68">
        <f>금액!T11</f>
        <v>1752591421.4400001</v>
      </c>
      <c r="AB14" s="69">
        <f>금액!U11</f>
        <v>3260983322.8800001</v>
      </c>
      <c r="AC14" s="68">
        <f>금액!V11</f>
        <v>154625201.28</v>
      </c>
      <c r="AD14" s="70">
        <f>금액!W11</f>
        <v>0</v>
      </c>
      <c r="AE14" s="70">
        <f>금액!X11</f>
        <v>0</v>
      </c>
      <c r="AF14" s="70">
        <f>금액!Y11</f>
        <v>0</v>
      </c>
    </row>
    <row r="15" spans="1:32">
      <c r="A15" s="1"/>
      <c r="B15" s="1"/>
      <c r="D15" s="1"/>
      <c r="E15" s="2"/>
      <c r="F15" s="2"/>
      <c r="G15" s="2"/>
      <c r="H15" s="2"/>
      <c r="I15" s="870"/>
      <c r="J15" s="873" t="s">
        <v>40</v>
      </c>
      <c r="K15" s="870"/>
      <c r="L15" s="68">
        <f t="shared" ref="L15:AF15" si="4">L14*$I$4</f>
        <v>780010350280</v>
      </c>
      <c r="M15" s="68">
        <f t="shared" si="4"/>
        <v>536508838249.99988</v>
      </c>
      <c r="N15" s="68">
        <f t="shared" si="4"/>
        <v>279469736070.00006</v>
      </c>
      <c r="O15" s="68">
        <f t="shared" si="4"/>
        <v>586940265870.00012</v>
      </c>
      <c r="P15" s="68">
        <f t="shared" si="4"/>
        <v>544590232830</v>
      </c>
      <c r="Q15" s="68">
        <f t="shared" si="4"/>
        <v>2115318660</v>
      </c>
      <c r="R15" s="68">
        <f t="shared" si="4"/>
        <v>813525147890.00012</v>
      </c>
      <c r="S15" s="68">
        <f t="shared" si="4"/>
        <v>270837776160.00003</v>
      </c>
      <c r="T15" s="68">
        <f t="shared" si="4"/>
        <v>2520761633109.9995</v>
      </c>
      <c r="U15" s="68">
        <f t="shared" si="4"/>
        <v>1957344910990</v>
      </c>
      <c r="V15" s="72">
        <f t="shared" si="4"/>
        <v>4513819122610</v>
      </c>
      <c r="W15" s="68">
        <f t="shared" si="4"/>
        <v>6371655682210.001</v>
      </c>
      <c r="X15" s="68">
        <f t="shared" si="4"/>
        <v>4170091430400.0005</v>
      </c>
      <c r="Y15" s="68">
        <f t="shared" si="4"/>
        <v>2233016701440</v>
      </c>
      <c r="Z15" s="68">
        <f t="shared" si="4"/>
        <v>7112445184320</v>
      </c>
      <c r="AA15" s="68">
        <f t="shared" si="4"/>
        <v>3067034987520</v>
      </c>
      <c r="AB15" s="72">
        <f t="shared" si="4"/>
        <v>5706720815040</v>
      </c>
      <c r="AC15" s="68">
        <f t="shared" si="4"/>
        <v>270594102240</v>
      </c>
      <c r="AD15" s="70">
        <f t="shared" si="4"/>
        <v>0</v>
      </c>
      <c r="AE15" s="70">
        <f t="shared" si="4"/>
        <v>0</v>
      </c>
      <c r="AF15" s="70">
        <f t="shared" si="4"/>
        <v>0</v>
      </c>
    </row>
    <row r="16" spans="1:32">
      <c r="A16" s="1"/>
      <c r="B16" s="1"/>
      <c r="D16" s="1"/>
      <c r="E16" s="2"/>
      <c r="F16" s="2"/>
      <c r="G16" s="2"/>
      <c r="H16" s="2"/>
      <c r="I16" s="73"/>
      <c r="J16" s="73"/>
      <c r="K16" s="73"/>
      <c r="O16" s="74"/>
      <c r="P16" s="74"/>
      <c r="Q16" s="74"/>
      <c r="R16" s="74"/>
      <c r="S16" s="75"/>
      <c r="T16" s="75"/>
      <c r="U16" s="3"/>
      <c r="W16" s="74"/>
      <c r="X16" s="74"/>
      <c r="Y16" s="74"/>
      <c r="Z16" s="74"/>
      <c r="AE16" s="4"/>
      <c r="AF16" s="4"/>
    </row>
    <row r="17" spans="1:32">
      <c r="A17" s="1"/>
      <c r="B17" s="1"/>
      <c r="D17" s="1"/>
      <c r="E17" s="2"/>
      <c r="F17" s="2"/>
      <c r="G17" s="2"/>
      <c r="H17" s="2"/>
      <c r="I17" s="73"/>
      <c r="J17" s="73"/>
      <c r="K17" s="73"/>
      <c r="L17" s="76" t="s">
        <v>41</v>
      </c>
      <c r="M17" s="76" t="s">
        <v>41</v>
      </c>
      <c r="N17" s="76" t="s">
        <v>41</v>
      </c>
      <c r="O17" s="76" t="s">
        <v>41</v>
      </c>
      <c r="P17" s="76" t="s">
        <v>41</v>
      </c>
      <c r="Q17" s="76" t="s">
        <v>41</v>
      </c>
      <c r="R17" s="76" t="s">
        <v>41</v>
      </c>
      <c r="S17" s="76" t="s">
        <v>41</v>
      </c>
      <c r="T17" s="76" t="s">
        <v>41</v>
      </c>
      <c r="U17" s="77" t="s">
        <v>42</v>
      </c>
      <c r="V17" s="77" t="s">
        <v>42</v>
      </c>
      <c r="W17" s="77" t="s">
        <v>42</v>
      </c>
      <c r="X17" s="77" t="s">
        <v>42</v>
      </c>
      <c r="Y17" s="77" t="s">
        <v>42</v>
      </c>
      <c r="Z17" s="77" t="s">
        <v>42</v>
      </c>
      <c r="AA17" s="77" t="s">
        <v>42</v>
      </c>
      <c r="AB17" s="77" t="s">
        <v>42</v>
      </c>
      <c r="AC17" s="77" t="s">
        <v>42</v>
      </c>
      <c r="AD17" s="77" t="s">
        <v>42</v>
      </c>
      <c r="AE17" s="77" t="s">
        <v>42</v>
      </c>
      <c r="AF17" s="77" t="s">
        <v>42</v>
      </c>
    </row>
    <row r="18" spans="1:32" outlineLevel="1">
      <c r="A18" s="1"/>
      <c r="B18" s="1"/>
      <c r="C18" s="1"/>
      <c r="D18" s="1"/>
      <c r="E18" s="2"/>
      <c r="F18" s="2"/>
      <c r="G18" s="2"/>
      <c r="H18" s="2"/>
      <c r="I18" s="878" t="s">
        <v>43</v>
      </c>
      <c r="J18" s="879"/>
      <c r="K18" s="860"/>
      <c r="L18" s="79" t="s">
        <v>26</v>
      </c>
      <c r="M18" s="79" t="s">
        <v>15</v>
      </c>
      <c r="N18" s="79" t="s">
        <v>16</v>
      </c>
      <c r="O18" s="79" t="s">
        <v>17</v>
      </c>
      <c r="P18" s="80" t="s">
        <v>18</v>
      </c>
      <c r="Q18" s="80" t="s">
        <v>19</v>
      </c>
      <c r="R18" s="80" t="s">
        <v>20</v>
      </c>
      <c r="S18" s="80" t="s">
        <v>21</v>
      </c>
      <c r="T18" s="80" t="s">
        <v>22</v>
      </c>
      <c r="U18" s="80" t="s">
        <v>23</v>
      </c>
      <c r="V18" s="81" t="s">
        <v>24</v>
      </c>
      <c r="W18" s="79" t="s">
        <v>25</v>
      </c>
      <c r="X18" s="79" t="s">
        <v>26</v>
      </c>
      <c r="Y18" s="80" t="s">
        <v>15</v>
      </c>
      <c r="Z18" s="80" t="s">
        <v>16</v>
      </c>
      <c r="AA18" s="80" t="s">
        <v>17</v>
      </c>
      <c r="AB18" s="81" t="s">
        <v>18</v>
      </c>
      <c r="AC18" s="82" t="s">
        <v>19</v>
      </c>
      <c r="AD18" s="82" t="s">
        <v>20</v>
      </c>
      <c r="AE18" s="83" t="s">
        <v>21</v>
      </c>
      <c r="AF18" s="83" t="s">
        <v>22</v>
      </c>
    </row>
    <row r="19" spans="1:32" outlineLevel="1">
      <c r="A19" s="1"/>
      <c r="B19" s="1"/>
      <c r="C19" s="1"/>
      <c r="D19" s="1"/>
      <c r="E19" s="2"/>
      <c r="F19" s="2"/>
      <c r="G19" s="2"/>
      <c r="H19" s="2"/>
      <c r="I19" s="880" t="s">
        <v>44</v>
      </c>
      <c r="J19" s="864" t="s">
        <v>27</v>
      </c>
      <c r="K19" s="20">
        <v>1</v>
      </c>
      <c r="L19" s="84">
        <v>10091</v>
      </c>
      <c r="M19" s="84">
        <v>10170</v>
      </c>
      <c r="N19" s="84">
        <v>10429</v>
      </c>
      <c r="O19" s="84">
        <v>10538</v>
      </c>
      <c r="P19" s="84">
        <v>10862</v>
      </c>
      <c r="Q19" s="84">
        <v>7305</v>
      </c>
      <c r="R19" s="84">
        <v>8012</v>
      </c>
      <c r="S19" s="84">
        <v>6754</v>
      </c>
      <c r="T19" s="84">
        <v>7920</v>
      </c>
      <c r="U19" s="84">
        <v>7623</v>
      </c>
      <c r="V19" s="85">
        <v>7928</v>
      </c>
      <c r="W19" s="86">
        <v>8086</v>
      </c>
      <c r="X19" s="87">
        <v>8248</v>
      </c>
      <c r="Y19" s="87">
        <v>8413</v>
      </c>
      <c r="Z19" s="88">
        <v>8581</v>
      </c>
      <c r="AA19" s="84">
        <v>8667</v>
      </c>
      <c r="AB19" s="85">
        <v>8927</v>
      </c>
      <c r="AC19" s="89">
        <v>9195</v>
      </c>
      <c r="AD19" s="89">
        <v>9379</v>
      </c>
      <c r="AE19" s="90"/>
      <c r="AF19" s="90"/>
    </row>
    <row r="20" spans="1:32" outlineLevel="1">
      <c r="A20" s="1"/>
      <c r="B20" s="1"/>
      <c r="C20" s="1"/>
      <c r="D20" s="1"/>
      <c r="E20" s="2"/>
      <c r="F20" s="2"/>
      <c r="G20" s="2"/>
      <c r="H20" s="2"/>
      <c r="I20" s="865"/>
      <c r="J20" s="865"/>
      <c r="K20" s="20">
        <v>2</v>
      </c>
      <c r="L20" s="91">
        <v>6149</v>
      </c>
      <c r="M20" s="91">
        <v>6793</v>
      </c>
      <c r="N20" s="91">
        <v>6655</v>
      </c>
      <c r="O20" s="91">
        <v>6740</v>
      </c>
      <c r="P20" s="91">
        <v>6647</v>
      </c>
      <c r="Q20" s="91">
        <v>1972</v>
      </c>
      <c r="R20" s="91">
        <v>588</v>
      </c>
      <c r="S20" s="91">
        <v>2070</v>
      </c>
      <c r="T20" s="91">
        <v>2887</v>
      </c>
      <c r="U20" s="91">
        <v>3129</v>
      </c>
      <c r="V20" s="92">
        <v>3223</v>
      </c>
      <c r="W20" s="87">
        <v>3287</v>
      </c>
      <c r="X20" s="87">
        <v>3353</v>
      </c>
      <c r="Y20" s="87">
        <v>3420</v>
      </c>
      <c r="Z20" s="88">
        <v>3523</v>
      </c>
      <c r="AA20" s="91">
        <v>3628</v>
      </c>
      <c r="AB20" s="92">
        <v>3701</v>
      </c>
      <c r="AC20" s="86">
        <v>3775</v>
      </c>
      <c r="AD20" s="86">
        <v>3851</v>
      </c>
      <c r="AE20" s="93"/>
      <c r="AF20" s="93"/>
    </row>
    <row r="21" spans="1:32" outlineLevel="1">
      <c r="A21" s="1"/>
      <c r="B21" s="1"/>
      <c r="C21" s="1"/>
      <c r="D21" s="1"/>
      <c r="E21" s="2"/>
      <c r="F21" s="2"/>
      <c r="G21" s="2"/>
      <c r="H21" s="2"/>
      <c r="I21" s="865"/>
      <c r="J21" s="866"/>
      <c r="K21" s="20">
        <v>3</v>
      </c>
      <c r="L21" s="84">
        <v>1975</v>
      </c>
      <c r="M21" s="84">
        <v>2094</v>
      </c>
      <c r="N21" s="84">
        <v>2101</v>
      </c>
      <c r="O21" s="84">
        <v>1953</v>
      </c>
      <c r="P21" s="84">
        <v>1892</v>
      </c>
      <c r="Q21" s="84">
        <v>1785</v>
      </c>
      <c r="R21" s="84">
        <v>1922</v>
      </c>
      <c r="S21" s="84">
        <v>1407</v>
      </c>
      <c r="T21" s="84">
        <v>1512</v>
      </c>
      <c r="U21" s="84">
        <v>1272</v>
      </c>
      <c r="V21" s="92">
        <v>1297</v>
      </c>
      <c r="W21" s="86">
        <v>1336</v>
      </c>
      <c r="X21" s="87">
        <v>1363</v>
      </c>
      <c r="Y21" s="87">
        <v>1377</v>
      </c>
      <c r="Z21" s="88">
        <v>1404</v>
      </c>
      <c r="AA21" s="84">
        <v>1432</v>
      </c>
      <c r="AB21" s="92">
        <v>1447</v>
      </c>
      <c r="AC21" s="89">
        <v>1461</v>
      </c>
      <c r="AD21" s="89">
        <v>1476</v>
      </c>
      <c r="AE21" s="90"/>
      <c r="AF21" s="90"/>
    </row>
    <row r="22" spans="1:32" outlineLevel="1">
      <c r="A22" s="1"/>
      <c r="B22" s="1"/>
      <c r="C22" s="1"/>
      <c r="D22" s="1"/>
      <c r="E22" s="2"/>
      <c r="F22" s="2"/>
      <c r="G22" s="2"/>
      <c r="H22" s="2"/>
      <c r="I22" s="865"/>
      <c r="J22" s="871" t="s">
        <v>32</v>
      </c>
      <c r="K22" s="50">
        <v>1</v>
      </c>
      <c r="L22" s="84">
        <v>26395</v>
      </c>
      <c r="M22" s="84">
        <v>18036</v>
      </c>
      <c r="N22" s="84">
        <v>19567</v>
      </c>
      <c r="O22" s="84">
        <v>21775</v>
      </c>
      <c r="P22" s="84">
        <v>24094</v>
      </c>
      <c r="Q22" s="84">
        <v>20361</v>
      </c>
      <c r="R22" s="84">
        <v>21905</v>
      </c>
      <c r="S22" s="84">
        <v>22294</v>
      </c>
      <c r="T22" s="84">
        <v>24686</v>
      </c>
      <c r="U22" s="84">
        <v>24960</v>
      </c>
      <c r="V22" s="92">
        <v>25958</v>
      </c>
      <c r="W22" s="86">
        <v>26737</v>
      </c>
      <c r="X22" s="87">
        <v>27005</v>
      </c>
      <c r="Y22" s="87">
        <v>27545</v>
      </c>
      <c r="Z22" s="88">
        <v>28646</v>
      </c>
      <c r="AA22" s="84">
        <v>29219</v>
      </c>
      <c r="AB22" s="92">
        <v>29804</v>
      </c>
      <c r="AC22" s="89">
        <v>30102</v>
      </c>
      <c r="AD22" s="89">
        <v>30704</v>
      </c>
      <c r="AE22" s="90"/>
      <c r="AF22" s="90"/>
    </row>
    <row r="23" spans="1:32" outlineLevel="1">
      <c r="A23" s="1"/>
      <c r="B23" s="1"/>
      <c r="D23" s="1"/>
      <c r="E23" s="2"/>
      <c r="F23" s="2"/>
      <c r="G23" s="2"/>
      <c r="H23" s="2"/>
      <c r="I23" s="865"/>
      <c r="J23" s="865"/>
      <c r="K23" s="50">
        <v>2</v>
      </c>
      <c r="L23" s="84">
        <v>9582</v>
      </c>
      <c r="M23" s="84">
        <v>11036</v>
      </c>
      <c r="N23" s="84">
        <v>10102</v>
      </c>
      <c r="O23" s="84">
        <v>10640</v>
      </c>
      <c r="P23" s="84">
        <v>11504</v>
      </c>
      <c r="Q23" s="84">
        <v>10237</v>
      </c>
      <c r="R23" s="84">
        <v>13952</v>
      </c>
      <c r="S23" s="84">
        <v>13606</v>
      </c>
      <c r="T23" s="84">
        <v>14459</v>
      </c>
      <c r="U23" s="84">
        <v>12814</v>
      </c>
      <c r="V23" s="92">
        <v>13839</v>
      </c>
      <c r="W23" s="86">
        <v>14254</v>
      </c>
      <c r="X23" s="87">
        <v>14539</v>
      </c>
      <c r="Y23" s="87">
        <v>14830</v>
      </c>
      <c r="Z23" s="88">
        <v>15720</v>
      </c>
      <c r="AA23" s="84">
        <v>16192</v>
      </c>
      <c r="AB23" s="92">
        <v>16515</v>
      </c>
      <c r="AC23" s="89">
        <v>16681</v>
      </c>
      <c r="AD23" s="89">
        <v>16847</v>
      </c>
      <c r="AE23" s="90"/>
      <c r="AF23" s="90"/>
    </row>
    <row r="24" spans="1:32" outlineLevel="1">
      <c r="A24" s="1"/>
      <c r="B24" s="1"/>
      <c r="C24" s="1"/>
      <c r="D24" s="1"/>
      <c r="E24" s="2"/>
      <c r="F24" s="2"/>
      <c r="G24" s="2"/>
      <c r="H24" s="2"/>
      <c r="I24" s="865"/>
      <c r="J24" s="866"/>
      <c r="K24" s="50">
        <v>3</v>
      </c>
      <c r="L24" s="84">
        <v>2881</v>
      </c>
      <c r="M24" s="84">
        <v>3060</v>
      </c>
      <c r="N24" s="84">
        <v>3108</v>
      </c>
      <c r="O24" s="84">
        <v>3172</v>
      </c>
      <c r="P24" s="84">
        <v>3248</v>
      </c>
      <c r="Q24" s="84">
        <v>2466</v>
      </c>
      <c r="R24" s="84">
        <v>2899</v>
      </c>
      <c r="S24" s="84">
        <v>2728</v>
      </c>
      <c r="T24" s="84">
        <v>2877</v>
      </c>
      <c r="U24" s="84">
        <v>2935</v>
      </c>
      <c r="V24" s="92">
        <v>3023</v>
      </c>
      <c r="W24" s="86">
        <v>3053</v>
      </c>
      <c r="X24" s="87">
        <v>3084</v>
      </c>
      <c r="Y24" s="87">
        <v>3115</v>
      </c>
      <c r="Z24" s="88">
        <v>3177</v>
      </c>
      <c r="AA24" s="84">
        <v>3209</v>
      </c>
      <c r="AB24" s="92">
        <v>3241</v>
      </c>
      <c r="AC24" s="89">
        <v>3273</v>
      </c>
      <c r="AD24" s="89">
        <v>3306</v>
      </c>
      <c r="AE24" s="90"/>
      <c r="AF24" s="90"/>
    </row>
    <row r="25" spans="1:32" outlineLevel="1">
      <c r="A25" s="1"/>
      <c r="B25" s="1"/>
      <c r="C25" s="1"/>
      <c r="D25" s="1"/>
      <c r="E25" s="2"/>
      <c r="F25" s="2"/>
      <c r="G25" s="2"/>
      <c r="H25" s="2"/>
      <c r="I25" s="866"/>
      <c r="J25" s="95" t="s">
        <v>37</v>
      </c>
      <c r="K25" s="96" t="s">
        <v>36</v>
      </c>
      <c r="L25" s="97"/>
      <c r="M25" s="97"/>
      <c r="N25" s="97"/>
      <c r="O25" s="97"/>
      <c r="P25" s="97">
        <v>284</v>
      </c>
      <c r="Q25" s="97">
        <v>129</v>
      </c>
      <c r="R25" s="97">
        <v>22</v>
      </c>
      <c r="S25" s="97">
        <v>298</v>
      </c>
      <c r="T25" s="97">
        <v>133</v>
      </c>
      <c r="U25" s="97">
        <v>385</v>
      </c>
      <c r="V25" s="98">
        <v>397</v>
      </c>
      <c r="W25" s="97">
        <v>420</v>
      </c>
      <c r="X25" s="99">
        <v>475</v>
      </c>
      <c r="Y25" s="99">
        <v>461</v>
      </c>
      <c r="Z25" s="97">
        <v>470</v>
      </c>
      <c r="AA25" s="97">
        <v>479</v>
      </c>
      <c r="AB25" s="98">
        <v>499</v>
      </c>
      <c r="AC25" s="97">
        <v>513</v>
      </c>
      <c r="AD25" s="99">
        <v>508</v>
      </c>
      <c r="AE25" s="100"/>
      <c r="AF25" s="100"/>
    </row>
    <row r="26" spans="1:32" outlineLevel="1">
      <c r="A26" s="1"/>
      <c r="B26" s="1"/>
      <c r="C26" s="1"/>
      <c r="D26" s="1"/>
      <c r="E26" s="2"/>
      <c r="F26" s="2"/>
      <c r="G26" s="2"/>
      <c r="H26" s="2"/>
      <c r="I26" s="101"/>
      <c r="J26" s="881" t="s">
        <v>38</v>
      </c>
      <c r="K26" s="870"/>
      <c r="L26" s="80">
        <f t="shared" ref="L26:O26" si="5">SUM(L19:L24)</f>
        <v>57073</v>
      </c>
      <c r="M26" s="80">
        <f t="shared" si="5"/>
        <v>51189</v>
      </c>
      <c r="N26" s="80">
        <f t="shared" si="5"/>
        <v>51962</v>
      </c>
      <c r="O26" s="80">
        <f t="shared" si="5"/>
        <v>54818</v>
      </c>
      <c r="P26" s="80">
        <f t="shared" ref="P26:AF26" si="6">SUM(P19:P25)</f>
        <v>58531</v>
      </c>
      <c r="Q26" s="80">
        <f t="shared" si="6"/>
        <v>44255</v>
      </c>
      <c r="R26" s="80">
        <f t="shared" si="6"/>
        <v>49300</v>
      </c>
      <c r="S26" s="80">
        <f t="shared" si="6"/>
        <v>49157</v>
      </c>
      <c r="T26" s="80">
        <f t="shared" si="6"/>
        <v>54474</v>
      </c>
      <c r="U26" s="80">
        <f t="shared" si="6"/>
        <v>53118</v>
      </c>
      <c r="V26" s="102">
        <f t="shared" si="6"/>
        <v>55665</v>
      </c>
      <c r="W26" s="80">
        <f t="shared" si="6"/>
        <v>57173</v>
      </c>
      <c r="X26" s="79">
        <f t="shared" si="6"/>
        <v>58067</v>
      </c>
      <c r="Y26" s="80">
        <f t="shared" si="6"/>
        <v>59161</v>
      </c>
      <c r="Z26" s="80">
        <f t="shared" si="6"/>
        <v>61521</v>
      </c>
      <c r="AA26" s="80">
        <f t="shared" si="6"/>
        <v>62826</v>
      </c>
      <c r="AB26" s="102">
        <f t="shared" si="6"/>
        <v>64134</v>
      </c>
      <c r="AC26" s="80">
        <f t="shared" si="6"/>
        <v>65000</v>
      </c>
      <c r="AD26" s="80">
        <f t="shared" si="6"/>
        <v>66071</v>
      </c>
      <c r="AE26" s="103">
        <f t="shared" si="6"/>
        <v>0</v>
      </c>
      <c r="AF26" s="103">
        <f t="shared" si="6"/>
        <v>0</v>
      </c>
    </row>
    <row r="27" spans="1:32">
      <c r="A27" s="1"/>
      <c r="B27" s="1"/>
      <c r="C27" s="1"/>
      <c r="D27" s="1"/>
      <c r="E27" s="2"/>
      <c r="F27" s="2"/>
      <c r="G27" s="2"/>
      <c r="H27" s="2"/>
      <c r="I27" s="73"/>
      <c r="J27" s="73"/>
      <c r="K27" s="73"/>
      <c r="L27" s="104"/>
      <c r="M27" s="104"/>
      <c r="N27" s="104"/>
      <c r="O27" s="104"/>
      <c r="P27" s="104"/>
      <c r="Q27" s="104"/>
      <c r="R27" s="104"/>
      <c r="S27" s="104"/>
      <c r="T27" s="104"/>
      <c r="U27" s="67">
        <f t="shared" ref="U27:AF27" si="7">SUM(U19:U24)</f>
        <v>52733</v>
      </c>
      <c r="V27" s="67">
        <f t="shared" si="7"/>
        <v>55268</v>
      </c>
      <c r="W27" s="67">
        <f t="shared" si="7"/>
        <v>56753</v>
      </c>
      <c r="X27" s="67">
        <f t="shared" si="7"/>
        <v>57592</v>
      </c>
      <c r="Y27" s="67">
        <f t="shared" si="7"/>
        <v>58700</v>
      </c>
      <c r="Z27" s="67">
        <f t="shared" si="7"/>
        <v>61051</v>
      </c>
      <c r="AA27" s="67">
        <f t="shared" si="7"/>
        <v>62347</v>
      </c>
      <c r="AB27" s="67">
        <f t="shared" si="7"/>
        <v>63635</v>
      </c>
      <c r="AC27" s="67">
        <f t="shared" si="7"/>
        <v>64487</v>
      </c>
      <c r="AD27" s="67">
        <f t="shared" si="7"/>
        <v>65563</v>
      </c>
      <c r="AE27" s="105">
        <f t="shared" si="7"/>
        <v>0</v>
      </c>
      <c r="AF27" s="105">
        <f t="shared" si="7"/>
        <v>0</v>
      </c>
    </row>
    <row r="28" spans="1:32">
      <c r="A28" s="1"/>
      <c r="B28" s="1"/>
      <c r="C28" s="1"/>
      <c r="D28" s="1"/>
      <c r="E28" s="2"/>
      <c r="F28" s="2"/>
      <c r="G28" s="2"/>
      <c r="H28" s="2"/>
      <c r="I28" s="73"/>
      <c r="J28" s="73"/>
      <c r="K28" s="73"/>
      <c r="AE28" s="4"/>
      <c r="AF28" s="4"/>
    </row>
    <row r="29" spans="1:32" ht="15.75" customHeight="1" outlineLevel="1">
      <c r="A29" s="106" t="s">
        <v>45</v>
      </c>
      <c r="B29" s="106" t="s">
        <v>46</v>
      </c>
      <c r="C29" s="107" t="s">
        <v>47</v>
      </c>
      <c r="D29" s="106" t="s">
        <v>48</v>
      </c>
      <c r="E29" s="108" t="s">
        <v>49</v>
      </c>
      <c r="F29" s="109" t="s">
        <v>50</v>
      </c>
      <c r="H29" s="109"/>
      <c r="I29" s="882" t="s">
        <v>51</v>
      </c>
      <c r="J29" s="879"/>
      <c r="K29" s="860"/>
      <c r="L29" s="110" t="s">
        <v>14</v>
      </c>
      <c r="M29" s="110" t="s">
        <v>15</v>
      </c>
      <c r="N29" s="110" t="s">
        <v>16</v>
      </c>
      <c r="O29" s="110" t="s">
        <v>17</v>
      </c>
      <c r="P29" s="110" t="s">
        <v>18</v>
      </c>
      <c r="Q29" s="110" t="s">
        <v>19</v>
      </c>
      <c r="R29" s="110" t="s">
        <v>20</v>
      </c>
      <c r="S29" s="110" t="s">
        <v>21</v>
      </c>
      <c r="T29" s="110" t="s">
        <v>22</v>
      </c>
      <c r="U29" s="110" t="s">
        <v>23</v>
      </c>
      <c r="V29" s="111" t="s">
        <v>24</v>
      </c>
      <c r="W29" s="110" t="s">
        <v>25</v>
      </c>
      <c r="X29" s="110" t="s">
        <v>26</v>
      </c>
      <c r="Y29" s="110" t="s">
        <v>15</v>
      </c>
      <c r="Z29" s="110" t="s">
        <v>16</v>
      </c>
      <c r="AA29" s="110" t="s">
        <v>17</v>
      </c>
      <c r="AB29" s="111" t="s">
        <v>18</v>
      </c>
      <c r="AC29" s="112" t="s">
        <v>19</v>
      </c>
      <c r="AD29" s="113" t="s">
        <v>20</v>
      </c>
      <c r="AE29" s="113" t="s">
        <v>21</v>
      </c>
      <c r="AF29" s="113" t="s">
        <v>22</v>
      </c>
    </row>
    <row r="30" spans="1:32" ht="15.75" customHeight="1" outlineLevel="1">
      <c r="A30" s="106">
        <v>47282</v>
      </c>
      <c r="B30" s="106">
        <v>797</v>
      </c>
      <c r="C30" s="106">
        <v>2036</v>
      </c>
      <c r="D30" s="106">
        <v>190</v>
      </c>
      <c r="E30" s="114">
        <f t="shared" ref="E30:E36" si="8">A30+B30+C30+D30</f>
        <v>50305</v>
      </c>
      <c r="F30" s="106">
        <f t="shared" ref="F30:F36" si="9">E30-(V19/31*9)</f>
        <v>48003.322580645159</v>
      </c>
      <c r="G30" s="67">
        <f t="shared" ref="G30:G36" si="10">V30-F30</f>
        <v>-169.32258064515918</v>
      </c>
      <c r="I30" s="876" t="s">
        <v>51</v>
      </c>
      <c r="J30" s="883" t="s">
        <v>27</v>
      </c>
      <c r="K30" s="115">
        <v>1</v>
      </c>
      <c r="L30" s="116">
        <v>30844</v>
      </c>
      <c r="M30" s="117">
        <v>20669</v>
      </c>
      <c r="N30" s="117">
        <v>17050</v>
      </c>
      <c r="O30" s="117">
        <v>13685</v>
      </c>
      <c r="P30" s="117">
        <v>10623</v>
      </c>
      <c r="Q30" s="117">
        <v>3902</v>
      </c>
      <c r="R30" s="117">
        <v>9601</v>
      </c>
      <c r="S30" s="117">
        <v>3607</v>
      </c>
      <c r="T30" s="117">
        <v>39061</v>
      </c>
      <c r="U30" s="117">
        <v>42442</v>
      </c>
      <c r="V30" s="119">
        <f t="shared" ref="V30:AF30" si="11">U30+V6-V19</f>
        <v>47834</v>
      </c>
      <c r="W30" s="116">
        <f t="shared" si="11"/>
        <v>39748</v>
      </c>
      <c r="X30" s="116">
        <f t="shared" si="11"/>
        <v>31500</v>
      </c>
      <c r="Y30" s="116">
        <f t="shared" si="11"/>
        <v>23087</v>
      </c>
      <c r="Z30" s="116">
        <f t="shared" si="11"/>
        <v>27178</v>
      </c>
      <c r="AA30" s="117">
        <f t="shared" si="11"/>
        <v>18511</v>
      </c>
      <c r="AB30" s="119">
        <f t="shared" si="11"/>
        <v>27584</v>
      </c>
      <c r="AC30" s="116">
        <f t="shared" si="11"/>
        <v>30389</v>
      </c>
      <c r="AD30" s="116">
        <f t="shared" si="11"/>
        <v>21010</v>
      </c>
      <c r="AE30" s="120">
        <f t="shared" si="11"/>
        <v>21010</v>
      </c>
      <c r="AF30" s="120">
        <f t="shared" si="11"/>
        <v>21010</v>
      </c>
    </row>
    <row r="31" spans="1:32" ht="15.75" customHeight="1" outlineLevel="1">
      <c r="A31" s="106">
        <v>20378</v>
      </c>
      <c r="B31" s="106">
        <v>751</v>
      </c>
      <c r="C31" s="106">
        <v>3212</v>
      </c>
      <c r="D31" s="106">
        <v>350</v>
      </c>
      <c r="E31" s="114">
        <f t="shared" si="8"/>
        <v>24691</v>
      </c>
      <c r="F31" s="106">
        <f t="shared" si="9"/>
        <v>23755.290322580644</v>
      </c>
      <c r="G31" s="67">
        <f t="shared" si="10"/>
        <v>738.70967741935601</v>
      </c>
      <c r="I31" s="865"/>
      <c r="J31" s="884"/>
      <c r="K31" s="115">
        <v>2</v>
      </c>
      <c r="L31" s="116">
        <v>36898</v>
      </c>
      <c r="M31" s="117">
        <v>36258</v>
      </c>
      <c r="N31" s="117">
        <v>30555</v>
      </c>
      <c r="O31" s="117">
        <v>29714</v>
      </c>
      <c r="P31" s="117">
        <v>20343</v>
      </c>
      <c r="Q31" s="117">
        <v>0</v>
      </c>
      <c r="R31" s="117">
        <v>6194</v>
      </c>
      <c r="S31" s="117">
        <v>9670</v>
      </c>
      <c r="T31" s="117">
        <v>14884</v>
      </c>
      <c r="U31" s="117">
        <v>10629</v>
      </c>
      <c r="V31" s="119">
        <f t="shared" ref="V31:AF31" si="12">U31+V7-V20</f>
        <v>24494</v>
      </c>
      <c r="W31" s="116">
        <f t="shared" si="12"/>
        <v>27979</v>
      </c>
      <c r="X31" s="116">
        <f t="shared" si="12"/>
        <v>24626</v>
      </c>
      <c r="Y31" s="116">
        <f t="shared" si="12"/>
        <v>21206</v>
      </c>
      <c r="Z31" s="116">
        <f t="shared" si="12"/>
        <v>17683</v>
      </c>
      <c r="AA31" s="117">
        <f t="shared" si="12"/>
        <v>14055</v>
      </c>
      <c r="AB31" s="119">
        <f t="shared" si="12"/>
        <v>10354</v>
      </c>
      <c r="AC31" s="116">
        <f t="shared" si="12"/>
        <v>6579</v>
      </c>
      <c r="AD31" s="116">
        <f t="shared" si="12"/>
        <v>2728</v>
      </c>
      <c r="AE31" s="120">
        <f t="shared" si="12"/>
        <v>2728</v>
      </c>
      <c r="AF31" s="120">
        <f t="shared" si="12"/>
        <v>2728</v>
      </c>
    </row>
    <row r="32" spans="1:32" ht="15.75" customHeight="1" outlineLevel="1">
      <c r="A32" s="106">
        <v>3593</v>
      </c>
      <c r="B32" s="106">
        <v>415</v>
      </c>
      <c r="C32" s="106">
        <v>1012</v>
      </c>
      <c r="D32" s="106">
        <v>252</v>
      </c>
      <c r="E32" s="114">
        <f t="shared" si="8"/>
        <v>5272</v>
      </c>
      <c r="F32" s="106">
        <f t="shared" si="9"/>
        <v>4895.4516129032254</v>
      </c>
      <c r="G32" s="67">
        <f t="shared" si="10"/>
        <v>-232.4516129032254</v>
      </c>
      <c r="I32" s="865"/>
      <c r="J32" s="885"/>
      <c r="K32" s="121">
        <v>3</v>
      </c>
      <c r="L32" s="116">
        <v>9504</v>
      </c>
      <c r="M32" s="117">
        <v>13528</v>
      </c>
      <c r="N32" s="117">
        <v>11315</v>
      </c>
      <c r="O32" s="117">
        <v>9370</v>
      </c>
      <c r="P32" s="117">
        <v>5587</v>
      </c>
      <c r="Q32" s="117">
        <v>3807</v>
      </c>
      <c r="R32" s="117">
        <v>2641</v>
      </c>
      <c r="S32" s="117">
        <v>1780</v>
      </c>
      <c r="T32" s="117">
        <v>7358</v>
      </c>
      <c r="U32" s="117">
        <v>5628</v>
      </c>
      <c r="V32" s="119">
        <f t="shared" ref="V32:AF32" si="13">U32+V8-V21</f>
        <v>4663</v>
      </c>
      <c r="W32" s="116">
        <f t="shared" si="13"/>
        <v>9087</v>
      </c>
      <c r="X32" s="116">
        <f t="shared" si="13"/>
        <v>7724</v>
      </c>
      <c r="Y32" s="116">
        <f t="shared" si="13"/>
        <v>6347</v>
      </c>
      <c r="Z32" s="116">
        <f t="shared" si="13"/>
        <v>4943</v>
      </c>
      <c r="AA32" s="117">
        <f t="shared" si="13"/>
        <v>3511</v>
      </c>
      <c r="AB32" s="119">
        <f t="shared" si="13"/>
        <v>8064</v>
      </c>
      <c r="AC32" s="116">
        <f t="shared" si="13"/>
        <v>6603</v>
      </c>
      <c r="AD32" s="116">
        <f t="shared" si="13"/>
        <v>5127</v>
      </c>
      <c r="AE32" s="120">
        <f t="shared" si="13"/>
        <v>5127</v>
      </c>
      <c r="AF32" s="120">
        <f t="shared" si="13"/>
        <v>5127</v>
      </c>
    </row>
    <row r="33" spans="1:32" ht="15.75" customHeight="1" outlineLevel="1">
      <c r="A33" s="122">
        <v>28740</v>
      </c>
      <c r="B33" s="106">
        <v>2335</v>
      </c>
      <c r="C33" s="106">
        <v>2960</v>
      </c>
      <c r="D33" s="106">
        <v>597</v>
      </c>
      <c r="E33" s="114">
        <f t="shared" si="8"/>
        <v>34632</v>
      </c>
      <c r="F33" s="106">
        <f t="shared" si="9"/>
        <v>27095.806451612902</v>
      </c>
      <c r="G33" s="67">
        <f t="shared" si="10"/>
        <v>396.19354838709842</v>
      </c>
      <c r="I33" s="865"/>
      <c r="J33" s="886" t="s">
        <v>32</v>
      </c>
      <c r="K33" s="123">
        <v>1</v>
      </c>
      <c r="L33" s="116">
        <v>30317</v>
      </c>
      <c r="M33" s="117">
        <v>28612</v>
      </c>
      <c r="N33" s="117">
        <v>34273</v>
      </c>
      <c r="O33" s="117">
        <v>12108</v>
      </c>
      <c r="P33" s="117">
        <v>47968</v>
      </c>
      <c r="Q33" s="117">
        <v>45113</v>
      </c>
      <c r="R33" s="117">
        <v>49297</v>
      </c>
      <c r="S33" s="117">
        <v>28221</v>
      </c>
      <c r="T33" s="117">
        <v>42865</v>
      </c>
      <c r="U33" s="117">
        <v>38482</v>
      </c>
      <c r="V33" s="119">
        <f t="shared" ref="V33:AF33" si="14">U33+V9-V22</f>
        <v>27492</v>
      </c>
      <c r="W33" s="116">
        <f t="shared" si="14"/>
        <v>51147</v>
      </c>
      <c r="X33" s="116">
        <f t="shared" si="14"/>
        <v>62542</v>
      </c>
      <c r="Y33" s="116">
        <f t="shared" si="14"/>
        <v>55349</v>
      </c>
      <c r="Z33" s="116">
        <f t="shared" si="14"/>
        <v>84303</v>
      </c>
      <c r="AA33" s="117">
        <f t="shared" si="14"/>
        <v>83500</v>
      </c>
      <c r="AB33" s="119">
        <f t="shared" si="14"/>
        <v>79696</v>
      </c>
      <c r="AC33" s="116">
        <f t="shared" si="14"/>
        <v>49594</v>
      </c>
      <c r="AD33" s="116">
        <f t="shared" si="14"/>
        <v>18890</v>
      </c>
      <c r="AE33" s="120">
        <f t="shared" si="14"/>
        <v>18890</v>
      </c>
      <c r="AF33" s="120">
        <f t="shared" si="14"/>
        <v>18890</v>
      </c>
    </row>
    <row r="34" spans="1:32" ht="15.75" customHeight="1" outlineLevel="1">
      <c r="A34" s="122">
        <v>18843</v>
      </c>
      <c r="B34" s="124">
        <v>668</v>
      </c>
      <c r="C34" s="125">
        <v>4528</v>
      </c>
      <c r="D34" s="106">
        <v>493</v>
      </c>
      <c r="E34" s="114">
        <f t="shared" si="8"/>
        <v>24532</v>
      </c>
      <c r="F34" s="106">
        <f t="shared" si="9"/>
        <v>20514.225806451614</v>
      </c>
      <c r="G34" s="67">
        <f t="shared" si="10"/>
        <v>-36.225806451613607</v>
      </c>
      <c r="I34" s="865"/>
      <c r="J34" s="884"/>
      <c r="K34" s="123">
        <v>2</v>
      </c>
      <c r="L34" s="116">
        <v>44579</v>
      </c>
      <c r="M34" s="117">
        <v>33292</v>
      </c>
      <c r="N34" s="117">
        <v>36167</v>
      </c>
      <c r="O34" s="117">
        <v>26193</v>
      </c>
      <c r="P34" s="117">
        <v>43047</v>
      </c>
      <c r="Q34" s="117">
        <v>51471</v>
      </c>
      <c r="R34" s="117">
        <v>39515</v>
      </c>
      <c r="S34" s="117">
        <v>33519</v>
      </c>
      <c r="T34" s="117">
        <v>18531</v>
      </c>
      <c r="U34" s="117">
        <v>6669</v>
      </c>
      <c r="V34" s="119">
        <f t="shared" ref="V34:AF34" si="15">U34+V10-V23</f>
        <v>20478</v>
      </c>
      <c r="W34" s="116">
        <f t="shared" si="15"/>
        <v>35192</v>
      </c>
      <c r="X34" s="116">
        <f t="shared" si="15"/>
        <v>41773</v>
      </c>
      <c r="Y34" s="116">
        <f t="shared" si="15"/>
        <v>38463</v>
      </c>
      <c r="Z34" s="116">
        <f t="shared" si="15"/>
        <v>51415</v>
      </c>
      <c r="AA34" s="117">
        <f t="shared" si="15"/>
        <v>46359</v>
      </c>
      <c r="AB34" s="119">
        <f t="shared" si="15"/>
        <v>47844</v>
      </c>
      <c r="AC34" s="116">
        <f t="shared" si="15"/>
        <v>31163</v>
      </c>
      <c r="AD34" s="116">
        <f t="shared" si="15"/>
        <v>14316</v>
      </c>
      <c r="AE34" s="120">
        <f t="shared" si="15"/>
        <v>14316</v>
      </c>
      <c r="AF34" s="120">
        <f t="shared" si="15"/>
        <v>14316</v>
      </c>
    </row>
    <row r="35" spans="1:32" ht="15.75" customHeight="1" outlineLevel="1">
      <c r="A35" s="106">
        <v>7533</v>
      </c>
      <c r="B35" s="124">
        <v>342</v>
      </c>
      <c r="C35" s="125">
        <v>1628</v>
      </c>
      <c r="D35" s="106">
        <v>291</v>
      </c>
      <c r="E35" s="114">
        <f t="shared" si="8"/>
        <v>9794</v>
      </c>
      <c r="F35" s="106">
        <f t="shared" si="9"/>
        <v>8916.354838709678</v>
      </c>
      <c r="G35" s="67">
        <f t="shared" si="10"/>
        <v>-70.354838709678006</v>
      </c>
      <c r="I35" s="865"/>
      <c r="J35" s="885"/>
      <c r="K35" s="126">
        <v>3</v>
      </c>
      <c r="L35" s="116">
        <v>16866</v>
      </c>
      <c r="M35" s="117">
        <v>13727</v>
      </c>
      <c r="N35" s="117">
        <v>19729</v>
      </c>
      <c r="O35" s="117">
        <v>16406</v>
      </c>
      <c r="P35" s="117">
        <v>12636</v>
      </c>
      <c r="Q35" s="117">
        <v>18546</v>
      </c>
      <c r="R35" s="117">
        <v>16659</v>
      </c>
      <c r="S35" s="117">
        <v>14687</v>
      </c>
      <c r="T35" s="117">
        <v>11366</v>
      </c>
      <c r="U35" s="117">
        <v>8797</v>
      </c>
      <c r="V35" s="119">
        <f t="shared" ref="V35:AF35" si="16">U35+V11-V24</f>
        <v>8846</v>
      </c>
      <c r="W35" s="116">
        <f t="shared" si="16"/>
        <v>9737</v>
      </c>
      <c r="X35" s="116">
        <f t="shared" si="16"/>
        <v>6653</v>
      </c>
      <c r="Y35" s="116">
        <f t="shared" si="16"/>
        <v>3538</v>
      </c>
      <c r="Z35" s="116">
        <f t="shared" si="16"/>
        <v>7881</v>
      </c>
      <c r="AA35" s="117">
        <f t="shared" si="16"/>
        <v>8896</v>
      </c>
      <c r="AB35" s="119">
        <f t="shared" si="16"/>
        <v>8655</v>
      </c>
      <c r="AC35" s="116">
        <f t="shared" si="16"/>
        <v>5382</v>
      </c>
      <c r="AD35" s="116">
        <f t="shared" si="16"/>
        <v>2076</v>
      </c>
      <c r="AE35" s="120">
        <f t="shared" si="16"/>
        <v>2076</v>
      </c>
      <c r="AF35" s="120">
        <f t="shared" si="16"/>
        <v>2076</v>
      </c>
    </row>
    <row r="36" spans="1:32" ht="15.75" customHeight="1" outlineLevel="1">
      <c r="A36" s="106"/>
      <c r="B36" s="199"/>
      <c r="C36" s="199"/>
      <c r="D36" s="199"/>
      <c r="E36" s="114">
        <f t="shared" si="8"/>
        <v>0</v>
      </c>
      <c r="F36" s="106">
        <f t="shared" si="9"/>
        <v>-115.25806451612904</v>
      </c>
      <c r="G36" s="67">
        <f t="shared" si="10"/>
        <v>34071.258064516129</v>
      </c>
      <c r="I36" s="865"/>
      <c r="J36" s="60" t="s">
        <v>37</v>
      </c>
      <c r="K36" s="59" t="s">
        <v>36</v>
      </c>
      <c r="L36" s="116"/>
      <c r="M36" s="116"/>
      <c r="N36" s="116"/>
      <c r="O36" s="116">
        <f>N36+O12-O25</f>
        <v>6912</v>
      </c>
      <c r="P36" s="116">
        <v>45869</v>
      </c>
      <c r="Q36" s="116">
        <v>11717</v>
      </c>
      <c r="R36" s="116">
        <v>11671</v>
      </c>
      <c r="S36" s="116">
        <v>11347</v>
      </c>
      <c r="T36" s="116">
        <v>22844</v>
      </c>
      <c r="U36" s="116">
        <v>34353</v>
      </c>
      <c r="V36" s="119">
        <f t="shared" ref="V36:AF36" si="17">U36+V12-V25</f>
        <v>33956</v>
      </c>
      <c r="W36" s="116">
        <f t="shared" si="17"/>
        <v>33536</v>
      </c>
      <c r="X36" s="116">
        <f t="shared" si="17"/>
        <v>33061</v>
      </c>
      <c r="Y36" s="116">
        <f t="shared" si="17"/>
        <v>32600</v>
      </c>
      <c r="Z36" s="116">
        <f t="shared" si="17"/>
        <v>32130</v>
      </c>
      <c r="AA36" s="116">
        <f t="shared" si="17"/>
        <v>31651</v>
      </c>
      <c r="AB36" s="119">
        <f t="shared" si="17"/>
        <v>31152</v>
      </c>
      <c r="AC36" s="116">
        <f t="shared" si="17"/>
        <v>30639</v>
      </c>
      <c r="AD36" s="116">
        <f t="shared" si="17"/>
        <v>30131</v>
      </c>
      <c r="AE36" s="120">
        <f t="shared" si="17"/>
        <v>30131</v>
      </c>
      <c r="AF36" s="120">
        <f t="shared" si="17"/>
        <v>30131</v>
      </c>
    </row>
    <row r="37" spans="1:32" ht="15" outlineLevel="1">
      <c r="A37" s="128"/>
      <c r="B37" s="128"/>
      <c r="C37" s="128"/>
      <c r="D37" s="128"/>
      <c r="E37" s="129"/>
      <c r="F37" s="129"/>
      <c r="G37" s="129"/>
      <c r="H37" s="129"/>
      <c r="I37" s="130"/>
      <c r="J37" s="874" t="s">
        <v>38</v>
      </c>
      <c r="K37" s="870"/>
      <c r="L37" s="131">
        <f t="shared" ref="L37:O37" si="18">SUM(L30:L35)</f>
        <v>169008</v>
      </c>
      <c r="M37" s="131">
        <f t="shared" si="18"/>
        <v>146086</v>
      </c>
      <c r="N37" s="131">
        <f t="shared" si="18"/>
        <v>149089</v>
      </c>
      <c r="O37" s="131">
        <f t="shared" si="18"/>
        <v>107476</v>
      </c>
      <c r="P37" s="131">
        <f t="shared" ref="P37:AF37" si="19">SUM(P30:P36)</f>
        <v>186073</v>
      </c>
      <c r="Q37" s="131">
        <f t="shared" si="19"/>
        <v>134556</v>
      </c>
      <c r="R37" s="131">
        <f t="shared" si="19"/>
        <v>135578</v>
      </c>
      <c r="S37" s="131">
        <f t="shared" si="19"/>
        <v>102831</v>
      </c>
      <c r="T37" s="131">
        <f t="shared" si="19"/>
        <v>156909</v>
      </c>
      <c r="U37" s="131">
        <f t="shared" si="19"/>
        <v>147000</v>
      </c>
      <c r="V37" s="132">
        <f t="shared" si="19"/>
        <v>167763</v>
      </c>
      <c r="W37" s="131">
        <f t="shared" si="19"/>
        <v>206426</v>
      </c>
      <c r="X37" s="131">
        <f t="shared" si="19"/>
        <v>207879</v>
      </c>
      <c r="Y37" s="131">
        <f t="shared" si="19"/>
        <v>180590</v>
      </c>
      <c r="Z37" s="131">
        <f t="shared" si="19"/>
        <v>225533</v>
      </c>
      <c r="AA37" s="131">
        <f t="shared" si="19"/>
        <v>206483</v>
      </c>
      <c r="AB37" s="132">
        <f t="shared" si="19"/>
        <v>213349</v>
      </c>
      <c r="AC37" s="131">
        <f t="shared" si="19"/>
        <v>160349</v>
      </c>
      <c r="AD37" s="131">
        <f t="shared" si="19"/>
        <v>94278</v>
      </c>
      <c r="AE37" s="131">
        <f t="shared" si="19"/>
        <v>94278</v>
      </c>
      <c r="AF37" s="131">
        <f t="shared" si="19"/>
        <v>94278</v>
      </c>
    </row>
    <row r="38" spans="1:32" ht="15">
      <c r="A38" s="133"/>
      <c r="B38" s="133"/>
      <c r="C38" s="133"/>
      <c r="D38" s="133"/>
      <c r="E38" s="129"/>
      <c r="F38" s="106"/>
      <c r="G38" s="106"/>
      <c r="H38" s="129"/>
      <c r="I38" s="129"/>
      <c r="J38" s="129"/>
      <c r="K38" s="134" t="s">
        <v>54</v>
      </c>
      <c r="L38" s="129" t="s">
        <v>55</v>
      </c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35"/>
      <c r="AF38" s="135"/>
    </row>
    <row r="39" spans="1:32" ht="15" outlineLevel="1">
      <c r="A39" s="133"/>
      <c r="B39" s="133"/>
      <c r="C39" s="128"/>
      <c r="D39" s="133"/>
      <c r="E39" s="129"/>
      <c r="F39" s="129"/>
      <c r="G39" s="129"/>
      <c r="H39" s="129"/>
      <c r="I39" s="875" t="s">
        <v>56</v>
      </c>
      <c r="J39" s="862"/>
      <c r="K39" s="862"/>
      <c r="L39" s="110" t="s">
        <v>14</v>
      </c>
      <c r="M39" s="110" t="s">
        <v>15</v>
      </c>
      <c r="N39" s="110" t="s">
        <v>16</v>
      </c>
      <c r="O39" s="110" t="s">
        <v>17</v>
      </c>
      <c r="P39" s="110" t="s">
        <v>18</v>
      </c>
      <c r="Q39" s="110" t="s">
        <v>19</v>
      </c>
      <c r="R39" s="110" t="s">
        <v>20</v>
      </c>
      <c r="S39" s="110" t="s">
        <v>21</v>
      </c>
      <c r="T39" s="110" t="s">
        <v>22</v>
      </c>
      <c r="U39" s="110" t="s">
        <v>23</v>
      </c>
      <c r="V39" s="111" t="s">
        <v>24</v>
      </c>
      <c r="W39" s="110" t="s">
        <v>25</v>
      </c>
      <c r="X39" s="110" t="s">
        <v>26</v>
      </c>
      <c r="Y39" s="110" t="s">
        <v>15</v>
      </c>
      <c r="Z39" s="110" t="s">
        <v>16</v>
      </c>
      <c r="AA39" s="110" t="s">
        <v>17</v>
      </c>
      <c r="AB39" s="111" t="s">
        <v>18</v>
      </c>
      <c r="AC39" s="113" t="s">
        <v>19</v>
      </c>
      <c r="AD39" s="113" t="s">
        <v>20</v>
      </c>
      <c r="AE39" s="113" t="s">
        <v>21</v>
      </c>
      <c r="AF39" s="113" t="s">
        <v>22</v>
      </c>
    </row>
    <row r="40" spans="1:32" ht="15" outlineLevel="1">
      <c r="A40" s="133"/>
      <c r="B40" s="133"/>
      <c r="C40" s="128"/>
      <c r="D40" s="133"/>
      <c r="E40" s="129"/>
      <c r="F40" s="129"/>
      <c r="G40" s="129"/>
      <c r="H40" s="129"/>
      <c r="I40" s="876" t="s">
        <v>57</v>
      </c>
      <c r="J40" s="864" t="s">
        <v>27</v>
      </c>
      <c r="K40" s="20">
        <v>1</v>
      </c>
      <c r="L40" s="136">
        <f t="shared" ref="L40:AF40" si="20">L30/L19</f>
        <v>3.0565850758101276</v>
      </c>
      <c r="M40" s="136">
        <f t="shared" si="20"/>
        <v>2.0323500491642084</v>
      </c>
      <c r="N40" s="136">
        <f t="shared" si="20"/>
        <v>1.6348643206443572</v>
      </c>
      <c r="O40" s="136">
        <f t="shared" si="20"/>
        <v>1.2986335167963561</v>
      </c>
      <c r="P40" s="136">
        <f t="shared" si="20"/>
        <v>0.9779966856932425</v>
      </c>
      <c r="Q40" s="136">
        <f t="shared" si="20"/>
        <v>0.53415468856947301</v>
      </c>
      <c r="R40" s="136">
        <f t="shared" si="20"/>
        <v>1.1983275087368948</v>
      </c>
      <c r="S40" s="136">
        <f t="shared" si="20"/>
        <v>0.53405389398874736</v>
      </c>
      <c r="T40" s="136">
        <f t="shared" si="20"/>
        <v>4.9319444444444445</v>
      </c>
      <c r="U40" s="136">
        <f t="shared" si="20"/>
        <v>5.5676242948970218</v>
      </c>
      <c r="V40" s="137">
        <f t="shared" si="20"/>
        <v>6.0335519677093847</v>
      </c>
      <c r="W40" s="136">
        <f t="shared" si="20"/>
        <v>4.9156566905763048</v>
      </c>
      <c r="X40" s="136">
        <f t="shared" si="20"/>
        <v>3.8191076624636278</v>
      </c>
      <c r="Y40" s="136">
        <f t="shared" si="20"/>
        <v>2.7442053964103175</v>
      </c>
      <c r="Z40" s="136">
        <f t="shared" si="20"/>
        <v>3.1672299265819834</v>
      </c>
      <c r="AA40" s="136">
        <f t="shared" si="20"/>
        <v>2.1358024691358026</v>
      </c>
      <c r="AB40" s="137">
        <f t="shared" si="20"/>
        <v>3.089951831522348</v>
      </c>
      <c r="AC40" s="136">
        <f t="shared" si="20"/>
        <v>3.3049483414899403</v>
      </c>
      <c r="AD40" s="136">
        <f t="shared" si="20"/>
        <v>2.2401108860219638</v>
      </c>
      <c r="AE40" s="138" t="e">
        <f t="shared" si="20"/>
        <v>#DIV/0!</v>
      </c>
      <c r="AF40" s="138" t="e">
        <f t="shared" si="20"/>
        <v>#DIV/0!</v>
      </c>
    </row>
    <row r="41" spans="1:32" ht="15" outlineLevel="1">
      <c r="A41" s="133"/>
      <c r="B41" s="133"/>
      <c r="C41" s="133"/>
      <c r="D41" s="133"/>
      <c r="E41" s="129"/>
      <c r="F41" s="129"/>
      <c r="G41" s="129"/>
      <c r="H41" s="129"/>
      <c r="I41" s="865"/>
      <c r="J41" s="865"/>
      <c r="K41" s="20">
        <v>2</v>
      </c>
      <c r="L41" s="136">
        <f t="shared" ref="L41:AF41" si="21">L31/L20</f>
        <v>6.0006505122784191</v>
      </c>
      <c r="M41" s="136">
        <f t="shared" si="21"/>
        <v>5.3375533637568084</v>
      </c>
      <c r="N41" s="136">
        <f t="shared" si="21"/>
        <v>4.5912847483095414</v>
      </c>
      <c r="O41" s="136">
        <f t="shared" si="21"/>
        <v>4.4086053412462904</v>
      </c>
      <c r="P41" s="136">
        <f t="shared" si="21"/>
        <v>3.0604784113133743</v>
      </c>
      <c r="Q41" s="136">
        <f t="shared" si="21"/>
        <v>0</v>
      </c>
      <c r="R41" s="136">
        <f t="shared" si="21"/>
        <v>10.534013605442176</v>
      </c>
      <c r="S41" s="136">
        <f t="shared" si="21"/>
        <v>4.6714975845410631</v>
      </c>
      <c r="T41" s="136">
        <f t="shared" si="21"/>
        <v>5.1555247661932802</v>
      </c>
      <c r="U41" s="136">
        <f t="shared" si="21"/>
        <v>3.3969319271332696</v>
      </c>
      <c r="V41" s="137">
        <f t="shared" si="21"/>
        <v>7.5997517840521249</v>
      </c>
      <c r="W41" s="136">
        <f t="shared" si="21"/>
        <v>8.5120170368116828</v>
      </c>
      <c r="X41" s="136">
        <f t="shared" si="21"/>
        <v>7.3444676409185803</v>
      </c>
      <c r="Y41" s="136">
        <f t="shared" si="21"/>
        <v>6.2005847953216371</v>
      </c>
      <c r="Z41" s="136">
        <f t="shared" si="21"/>
        <v>5.0193017314788531</v>
      </c>
      <c r="AA41" s="136">
        <f t="shared" si="21"/>
        <v>3.8740352811466372</v>
      </c>
      <c r="AB41" s="137">
        <f t="shared" si="21"/>
        <v>2.7976222642529045</v>
      </c>
      <c r="AC41" s="136">
        <f t="shared" si="21"/>
        <v>1.7427814569536424</v>
      </c>
      <c r="AD41" s="136">
        <f t="shared" si="21"/>
        <v>0.70838743183588682</v>
      </c>
      <c r="AE41" s="139" t="e">
        <f t="shared" si="21"/>
        <v>#DIV/0!</v>
      </c>
      <c r="AF41" s="139" t="e">
        <f t="shared" si="21"/>
        <v>#DIV/0!</v>
      </c>
    </row>
    <row r="42" spans="1:32" ht="15" outlineLevel="1">
      <c r="A42" s="133"/>
      <c r="B42" s="133"/>
      <c r="C42" s="133"/>
      <c r="D42" s="133"/>
      <c r="E42" s="129"/>
      <c r="F42" s="129"/>
      <c r="G42" s="129"/>
      <c r="H42" s="129"/>
      <c r="I42" s="865"/>
      <c r="J42" s="866"/>
      <c r="K42" s="20">
        <v>3</v>
      </c>
      <c r="L42" s="136">
        <f t="shared" ref="L42:AF42" si="22">L32/L21</f>
        <v>4.8121518987341769</v>
      </c>
      <c r="M42" s="136">
        <f t="shared" si="22"/>
        <v>6.4603629417382997</v>
      </c>
      <c r="N42" s="136">
        <f t="shared" si="22"/>
        <v>5.3855306996668251</v>
      </c>
      <c r="O42" s="136">
        <f t="shared" si="22"/>
        <v>4.7977470558115716</v>
      </c>
      <c r="P42" s="136">
        <f t="shared" si="22"/>
        <v>2.9529598308668077</v>
      </c>
      <c r="Q42" s="136">
        <f t="shared" si="22"/>
        <v>2.1327731092436975</v>
      </c>
      <c r="R42" s="136">
        <f t="shared" si="22"/>
        <v>1.374089490114464</v>
      </c>
      <c r="S42" s="136">
        <f t="shared" si="22"/>
        <v>1.2651030561478323</v>
      </c>
      <c r="T42" s="136">
        <f t="shared" si="22"/>
        <v>4.8664021164021163</v>
      </c>
      <c r="U42" s="136">
        <f t="shared" si="22"/>
        <v>4.4245283018867925</v>
      </c>
      <c r="V42" s="137">
        <f t="shared" si="22"/>
        <v>3.595219737856592</v>
      </c>
      <c r="W42" s="136">
        <f t="shared" si="22"/>
        <v>6.8016467065868262</v>
      </c>
      <c r="X42" s="136">
        <f t="shared" si="22"/>
        <v>5.6669112252384446</v>
      </c>
      <c r="Y42" s="136">
        <f t="shared" si="22"/>
        <v>4.6092955700798841</v>
      </c>
      <c r="Z42" s="136">
        <f t="shared" si="22"/>
        <v>3.5206552706552707</v>
      </c>
      <c r="AA42" s="136">
        <f t="shared" si="22"/>
        <v>2.4518156424581004</v>
      </c>
      <c r="AB42" s="137">
        <f t="shared" si="22"/>
        <v>5.5729094678645472</v>
      </c>
      <c r="AC42" s="136">
        <f t="shared" si="22"/>
        <v>4.5195071868583163</v>
      </c>
      <c r="AD42" s="136">
        <f t="shared" si="22"/>
        <v>3.4735772357723578</v>
      </c>
      <c r="AE42" s="138" t="e">
        <f t="shared" si="22"/>
        <v>#DIV/0!</v>
      </c>
      <c r="AF42" s="138" t="e">
        <f t="shared" si="22"/>
        <v>#DIV/0!</v>
      </c>
    </row>
    <row r="43" spans="1:32" ht="15" outlineLevel="1">
      <c r="A43" s="140"/>
      <c r="B43" s="140"/>
      <c r="C43" s="140"/>
      <c r="D43" s="140"/>
      <c r="E43" s="2"/>
      <c r="F43" s="2"/>
      <c r="G43" s="2"/>
      <c r="H43" s="2"/>
      <c r="I43" s="865"/>
      <c r="J43" s="886" t="s">
        <v>32</v>
      </c>
      <c r="K43" s="123">
        <v>1</v>
      </c>
      <c r="L43" s="136">
        <f t="shared" ref="L43:AF43" si="23">L33/L22</f>
        <v>1.1485887478689145</v>
      </c>
      <c r="M43" s="136">
        <f t="shared" si="23"/>
        <v>1.5863827899756044</v>
      </c>
      <c r="N43" s="136">
        <f t="shared" si="23"/>
        <v>1.7515715234834159</v>
      </c>
      <c r="O43" s="136">
        <f t="shared" si="23"/>
        <v>0.55605051664753158</v>
      </c>
      <c r="P43" s="136">
        <f t="shared" si="23"/>
        <v>1.990869096040508</v>
      </c>
      <c r="Q43" s="136">
        <f t="shared" si="23"/>
        <v>2.2156573842149205</v>
      </c>
      <c r="R43" s="136">
        <f t="shared" si="23"/>
        <v>2.250490755535266</v>
      </c>
      <c r="S43" s="136">
        <f t="shared" si="23"/>
        <v>1.2658562842020276</v>
      </c>
      <c r="T43" s="136">
        <f t="shared" si="23"/>
        <v>1.7364093008182775</v>
      </c>
      <c r="U43" s="136">
        <f t="shared" si="23"/>
        <v>1.5417467948717949</v>
      </c>
      <c r="V43" s="137">
        <f t="shared" si="23"/>
        <v>1.0590954618999924</v>
      </c>
      <c r="W43" s="136">
        <f t="shared" si="23"/>
        <v>1.9129670494071886</v>
      </c>
      <c r="X43" s="136">
        <f t="shared" si="23"/>
        <v>2.3159414923162376</v>
      </c>
      <c r="Y43" s="136">
        <f t="shared" si="23"/>
        <v>2.0094027954256672</v>
      </c>
      <c r="Z43" s="136">
        <f t="shared" si="23"/>
        <v>2.9429239684423654</v>
      </c>
      <c r="AA43" s="136">
        <f t="shared" si="23"/>
        <v>2.8577295595331806</v>
      </c>
      <c r="AB43" s="137">
        <f t="shared" si="23"/>
        <v>2.6740034894645013</v>
      </c>
      <c r="AC43" s="136">
        <f t="shared" si="23"/>
        <v>1.6475317254667463</v>
      </c>
      <c r="AD43" s="136">
        <f t="shared" si="23"/>
        <v>0.6152292860865034</v>
      </c>
      <c r="AE43" s="141" t="e">
        <f t="shared" si="23"/>
        <v>#DIV/0!</v>
      </c>
      <c r="AF43" s="141" t="e">
        <f t="shared" si="23"/>
        <v>#DIV/0!</v>
      </c>
    </row>
    <row r="44" spans="1:32" ht="15" outlineLevel="1">
      <c r="A44" s="1"/>
      <c r="B44" s="1"/>
      <c r="C44" s="1"/>
      <c r="D44" s="1"/>
      <c r="E44" s="2"/>
      <c r="F44" s="2"/>
      <c r="G44" s="2"/>
      <c r="H44" s="2"/>
      <c r="I44" s="865"/>
      <c r="J44" s="884"/>
      <c r="K44" s="123">
        <v>2</v>
      </c>
      <c r="L44" s="136">
        <f t="shared" ref="L44:AF44" si="24">L34/L23</f>
        <v>4.6523690252556875</v>
      </c>
      <c r="M44" s="136">
        <f t="shared" si="24"/>
        <v>3.0166727075027184</v>
      </c>
      <c r="N44" s="136">
        <f t="shared" si="24"/>
        <v>3.5801821421500692</v>
      </c>
      <c r="O44" s="136">
        <f t="shared" si="24"/>
        <v>2.4617481203007521</v>
      </c>
      <c r="P44" s="136">
        <f t="shared" si="24"/>
        <v>3.7419158553546592</v>
      </c>
      <c r="Q44" s="136">
        <f t="shared" si="24"/>
        <v>5.0279378724235615</v>
      </c>
      <c r="R44" s="136">
        <f t="shared" si="24"/>
        <v>2.8322104357798166</v>
      </c>
      <c r="S44" s="136">
        <f t="shared" si="24"/>
        <v>2.4635454946347202</v>
      </c>
      <c r="T44" s="136">
        <f t="shared" si="24"/>
        <v>1.2816239020679161</v>
      </c>
      <c r="U44" s="136">
        <f t="shared" si="24"/>
        <v>0.5204463867644763</v>
      </c>
      <c r="V44" s="137">
        <f t="shared" si="24"/>
        <v>1.4797311944504661</v>
      </c>
      <c r="W44" s="136">
        <f t="shared" si="24"/>
        <v>2.4689210046302792</v>
      </c>
      <c r="X44" s="136">
        <f t="shared" si="24"/>
        <v>2.8731687186188872</v>
      </c>
      <c r="Y44" s="136">
        <f t="shared" si="24"/>
        <v>2.5935940660822658</v>
      </c>
      <c r="Z44" s="136">
        <f t="shared" si="24"/>
        <v>3.2706743002544529</v>
      </c>
      <c r="AA44" s="136">
        <f t="shared" si="24"/>
        <v>2.8630805335968379</v>
      </c>
      <c r="AB44" s="137">
        <f t="shared" si="24"/>
        <v>2.8970027247956405</v>
      </c>
      <c r="AC44" s="136">
        <f t="shared" si="24"/>
        <v>1.8681733709010251</v>
      </c>
      <c r="AD44" s="136">
        <f t="shared" si="24"/>
        <v>0.84976553689084111</v>
      </c>
      <c r="AE44" s="142" t="e">
        <f t="shared" si="24"/>
        <v>#DIV/0!</v>
      </c>
      <c r="AF44" s="142" t="e">
        <f t="shared" si="24"/>
        <v>#DIV/0!</v>
      </c>
    </row>
    <row r="45" spans="1:32" ht="15" outlineLevel="1">
      <c r="A45" s="1"/>
      <c r="B45" s="1"/>
      <c r="C45" s="1"/>
      <c r="D45" s="1"/>
      <c r="E45" s="2"/>
      <c r="F45" s="2"/>
      <c r="G45" s="2"/>
      <c r="H45" s="2"/>
      <c r="I45" s="865"/>
      <c r="J45" s="885"/>
      <c r="K45" s="126">
        <v>3</v>
      </c>
      <c r="L45" s="136">
        <f t="shared" ref="L45:AF45" si="25">L35/L24</f>
        <v>5.8542172856647001</v>
      </c>
      <c r="M45" s="136">
        <f t="shared" si="25"/>
        <v>4.4859477124183007</v>
      </c>
      <c r="N45" s="136">
        <f t="shared" si="25"/>
        <v>6.3478120978120982</v>
      </c>
      <c r="O45" s="136">
        <f t="shared" si="25"/>
        <v>5.1721311475409832</v>
      </c>
      <c r="P45" s="136">
        <f t="shared" si="25"/>
        <v>3.8903940886699506</v>
      </c>
      <c r="Q45" s="136">
        <f t="shared" si="25"/>
        <v>7.5206812652068127</v>
      </c>
      <c r="R45" s="136">
        <f t="shared" si="25"/>
        <v>5.7464642980338043</v>
      </c>
      <c r="S45" s="136">
        <f t="shared" si="25"/>
        <v>5.3837976539589443</v>
      </c>
      <c r="T45" s="136">
        <f t="shared" si="25"/>
        <v>3.9506430309350016</v>
      </c>
      <c r="U45" s="136">
        <f t="shared" si="25"/>
        <v>2.997274275979557</v>
      </c>
      <c r="V45" s="137">
        <f t="shared" si="25"/>
        <v>2.9262322196493549</v>
      </c>
      <c r="W45" s="136">
        <f t="shared" si="25"/>
        <v>3.1893219783819196</v>
      </c>
      <c r="X45" s="136">
        <f t="shared" si="25"/>
        <v>2.1572632944228274</v>
      </c>
      <c r="Y45" s="136">
        <f t="shared" si="25"/>
        <v>1.1357945425361156</v>
      </c>
      <c r="Z45" s="136">
        <f t="shared" si="25"/>
        <v>2.4806421152030218</v>
      </c>
      <c r="AA45" s="136">
        <f t="shared" si="25"/>
        <v>2.7722031785602992</v>
      </c>
      <c r="AB45" s="137">
        <f t="shared" si="25"/>
        <v>2.6704720765195926</v>
      </c>
      <c r="AC45" s="136">
        <f t="shared" si="25"/>
        <v>1.6443629697525206</v>
      </c>
      <c r="AD45" s="136">
        <f t="shared" si="25"/>
        <v>0.62794918330308525</v>
      </c>
      <c r="AE45" s="143" t="e">
        <f t="shared" si="25"/>
        <v>#DIV/0!</v>
      </c>
      <c r="AF45" s="143" t="e">
        <f t="shared" si="25"/>
        <v>#DIV/0!</v>
      </c>
    </row>
    <row r="46" spans="1:32" ht="15" outlineLevel="1">
      <c r="A46" s="1"/>
      <c r="B46" s="1"/>
      <c r="C46" s="1"/>
      <c r="D46" s="1"/>
      <c r="E46" s="2"/>
      <c r="F46" s="2"/>
      <c r="G46" s="2"/>
      <c r="H46" s="2"/>
      <c r="I46" s="865"/>
      <c r="J46" s="60" t="s">
        <v>37</v>
      </c>
      <c r="K46" s="59" t="s">
        <v>36</v>
      </c>
      <c r="L46" s="144"/>
      <c r="M46" s="144"/>
      <c r="N46" s="144"/>
      <c r="O46" s="144"/>
      <c r="P46" s="144"/>
      <c r="Q46" s="116"/>
      <c r="R46" s="116"/>
      <c r="S46" s="116"/>
      <c r="T46" s="116"/>
      <c r="U46" s="116"/>
      <c r="V46" s="127"/>
      <c r="W46" s="144"/>
      <c r="X46" s="116"/>
      <c r="Y46" s="116"/>
      <c r="Z46" s="116"/>
      <c r="AA46" s="116"/>
      <c r="AB46" s="127"/>
      <c r="AC46" s="233"/>
      <c r="AD46" s="233"/>
      <c r="AE46" s="234"/>
      <c r="AF46" s="234"/>
    </row>
    <row r="47" spans="1:32" ht="15" outlineLevel="1">
      <c r="A47" s="1"/>
      <c r="B47" s="1"/>
      <c r="C47" s="1"/>
      <c r="D47" s="1"/>
      <c r="E47" s="2"/>
      <c r="F47" s="2"/>
      <c r="G47" s="2"/>
      <c r="H47" s="2"/>
      <c r="I47" s="145"/>
      <c r="J47" s="877" t="s">
        <v>38</v>
      </c>
      <c r="K47" s="870"/>
      <c r="L47" s="146">
        <f t="shared" ref="L47:O47" si="26">AVERAGE(L40:L45)</f>
        <v>4.2540937576020044</v>
      </c>
      <c r="M47" s="146">
        <f t="shared" si="26"/>
        <v>3.8198782607593231</v>
      </c>
      <c r="N47" s="146">
        <f t="shared" si="26"/>
        <v>3.8818742553443841</v>
      </c>
      <c r="O47" s="146">
        <f t="shared" si="26"/>
        <v>3.1158192830572475</v>
      </c>
      <c r="P47" s="146">
        <f t="shared" ref="P47:AF47" si="27">AVERAGE(P40:P46)</f>
        <v>2.7691023279897569</v>
      </c>
      <c r="Q47" s="146">
        <f t="shared" si="27"/>
        <v>2.9052007199430769</v>
      </c>
      <c r="R47" s="146">
        <f t="shared" si="27"/>
        <v>3.9892660156070701</v>
      </c>
      <c r="S47" s="146">
        <f t="shared" si="27"/>
        <v>2.597308994578889</v>
      </c>
      <c r="T47" s="146">
        <f t="shared" si="27"/>
        <v>3.6537579268101728</v>
      </c>
      <c r="U47" s="146">
        <f t="shared" si="27"/>
        <v>3.0747586635888187</v>
      </c>
      <c r="V47" s="147">
        <f t="shared" si="27"/>
        <v>3.7822637276029858</v>
      </c>
      <c r="W47" s="146">
        <f t="shared" si="27"/>
        <v>4.6334217443990333</v>
      </c>
      <c r="X47" s="146">
        <f t="shared" si="27"/>
        <v>4.0294766723297677</v>
      </c>
      <c r="Y47" s="146">
        <f t="shared" si="27"/>
        <v>3.2154795276426476</v>
      </c>
      <c r="Z47" s="146">
        <f t="shared" si="27"/>
        <v>3.4002378854359914</v>
      </c>
      <c r="AA47" s="146">
        <f t="shared" si="27"/>
        <v>2.8257777774051429</v>
      </c>
      <c r="AB47" s="147">
        <f t="shared" si="27"/>
        <v>3.2836603090699228</v>
      </c>
      <c r="AC47" s="146">
        <f t="shared" si="27"/>
        <v>2.4545508419036985</v>
      </c>
      <c r="AD47" s="146">
        <f t="shared" si="27"/>
        <v>1.419169926651773</v>
      </c>
      <c r="AE47" s="146" t="e">
        <f t="shared" si="27"/>
        <v>#DIV/0!</v>
      </c>
      <c r="AF47" s="146" t="e">
        <f t="shared" si="27"/>
        <v>#DIV/0!</v>
      </c>
    </row>
    <row r="48" spans="1:32" ht="15">
      <c r="A48" s="1"/>
      <c r="B48" s="1"/>
      <c r="C48" s="1"/>
      <c r="D48" s="1"/>
      <c r="E48" s="2"/>
      <c r="F48" s="2"/>
      <c r="G48" s="2"/>
      <c r="H48" s="2"/>
      <c r="I48" s="1"/>
      <c r="J48" s="3"/>
      <c r="K48" s="3"/>
      <c r="AE48" s="4"/>
      <c r="AF48" s="4"/>
    </row>
    <row r="49" spans="3:32" ht="12.75">
      <c r="E49" s="148"/>
      <c r="F49" s="148"/>
      <c r="G49" s="148"/>
      <c r="H49" s="148"/>
      <c r="AE49" s="4"/>
      <c r="AF49" s="4"/>
    </row>
    <row r="50" spans="3:32" ht="12.75">
      <c r="E50" s="148"/>
      <c r="F50" s="148"/>
      <c r="G50" s="148"/>
      <c r="H50" s="148"/>
      <c r="AE50" s="4"/>
      <c r="AF50" s="4"/>
    </row>
    <row r="51" spans="3:32" ht="12.75">
      <c r="E51" s="148"/>
      <c r="F51" s="148"/>
      <c r="G51" s="148"/>
      <c r="H51" s="148"/>
      <c r="AE51" s="4"/>
      <c r="AF51" s="4"/>
    </row>
    <row r="52" spans="3:32" ht="14.25">
      <c r="C52" s="149"/>
      <c r="E52" s="148"/>
      <c r="F52" s="148"/>
      <c r="G52" s="148"/>
      <c r="H52" s="148"/>
      <c r="AE52" s="4"/>
      <c r="AF52" s="4"/>
    </row>
    <row r="53" spans="3:32" ht="14.25">
      <c r="C53" s="149"/>
      <c r="E53" s="148"/>
      <c r="F53" s="148"/>
      <c r="G53" s="148"/>
      <c r="H53" s="148"/>
      <c r="AE53" s="4"/>
      <c r="AF53" s="4"/>
    </row>
    <row r="54" spans="3:32" ht="14.25">
      <c r="C54" s="149"/>
      <c r="E54" s="148"/>
      <c r="F54" s="148"/>
      <c r="G54" s="148"/>
      <c r="H54" s="148"/>
      <c r="AE54" s="4"/>
      <c r="AF54" s="4"/>
    </row>
    <row r="55" spans="3:32" ht="14.25">
      <c r="C55" s="149"/>
      <c r="E55" s="148"/>
      <c r="F55" s="148"/>
      <c r="G55" s="148"/>
      <c r="H55" s="148"/>
      <c r="AE55" s="4"/>
      <c r="AF55" s="4"/>
    </row>
    <row r="56" spans="3:32" ht="12.75">
      <c r="E56" s="148"/>
      <c r="F56" s="148"/>
      <c r="G56" s="148"/>
      <c r="H56" s="148"/>
      <c r="AE56" s="4"/>
      <c r="AF56" s="4"/>
    </row>
    <row r="57" spans="3:32" ht="12.75">
      <c r="E57" s="148"/>
      <c r="F57" s="148"/>
      <c r="G57" s="148"/>
      <c r="H57" s="148"/>
      <c r="AE57" s="4"/>
      <c r="AF57" s="4"/>
    </row>
    <row r="58" spans="3:32" ht="12.75">
      <c r="E58" s="148"/>
      <c r="F58" s="148"/>
      <c r="G58" s="148"/>
      <c r="H58" s="148"/>
      <c r="AE58" s="4"/>
      <c r="AF58" s="4"/>
    </row>
    <row r="59" spans="3:32" ht="12.75">
      <c r="E59" s="148"/>
      <c r="F59" s="148"/>
      <c r="G59" s="148"/>
      <c r="H59" s="148"/>
      <c r="AE59" s="4"/>
      <c r="AF59" s="4"/>
    </row>
    <row r="60" spans="3:32" ht="12.75">
      <c r="E60" s="148"/>
      <c r="F60" s="148"/>
      <c r="G60" s="148"/>
      <c r="H60" s="148"/>
      <c r="AE60" s="4"/>
      <c r="AF60" s="4"/>
    </row>
    <row r="61" spans="3:32" ht="12.75">
      <c r="E61" s="148"/>
      <c r="F61" s="148"/>
      <c r="G61" s="148"/>
      <c r="H61" s="148"/>
      <c r="AE61" s="4"/>
      <c r="AF61" s="4"/>
    </row>
    <row r="62" spans="3:32" ht="12.75">
      <c r="E62" s="148"/>
      <c r="F62" s="148"/>
      <c r="G62" s="148"/>
      <c r="H62" s="148"/>
      <c r="AE62" s="4"/>
      <c r="AF62" s="4"/>
    </row>
    <row r="63" spans="3:32" ht="12.75">
      <c r="E63" s="148"/>
      <c r="F63" s="148"/>
      <c r="G63" s="148"/>
      <c r="H63" s="148"/>
      <c r="AE63" s="4"/>
      <c r="AF63" s="4"/>
    </row>
    <row r="64" spans="3:32" ht="12.75">
      <c r="E64" s="148"/>
      <c r="F64" s="148"/>
      <c r="G64" s="148"/>
      <c r="H64" s="148"/>
      <c r="AE64" s="4"/>
      <c r="AF64" s="4"/>
    </row>
    <row r="65" spans="5:32" ht="12.75">
      <c r="E65" s="148"/>
      <c r="F65" s="148"/>
      <c r="G65" s="148"/>
      <c r="H65" s="148"/>
      <c r="AE65" s="4"/>
      <c r="AF65" s="4"/>
    </row>
    <row r="66" spans="5:32" ht="12.75">
      <c r="E66" s="148"/>
      <c r="F66" s="148"/>
      <c r="G66" s="148"/>
      <c r="H66" s="148"/>
      <c r="AE66" s="4"/>
      <c r="AF66" s="4"/>
    </row>
    <row r="67" spans="5:32" ht="12.75">
      <c r="E67" s="148"/>
      <c r="F67" s="148"/>
      <c r="G67" s="148"/>
      <c r="H67" s="148"/>
      <c r="AE67" s="4"/>
      <c r="AF67" s="4"/>
    </row>
    <row r="68" spans="5:32" ht="12.75">
      <c r="E68" s="148"/>
      <c r="F68" s="148"/>
      <c r="G68" s="148"/>
      <c r="H68" s="148"/>
      <c r="AE68" s="4"/>
      <c r="AF68" s="4"/>
    </row>
    <row r="69" spans="5:32" ht="12.75">
      <c r="E69" s="148"/>
      <c r="F69" s="148"/>
      <c r="G69" s="148"/>
      <c r="H69" s="148"/>
      <c r="AE69" s="4"/>
      <c r="AF69" s="4"/>
    </row>
    <row r="70" spans="5:32" ht="12.75">
      <c r="E70" s="148"/>
      <c r="F70" s="148"/>
      <c r="G70" s="148"/>
      <c r="H70" s="148"/>
      <c r="AE70" s="4"/>
      <c r="AF70" s="4"/>
    </row>
    <row r="71" spans="5:32" ht="12.75">
      <c r="E71" s="148"/>
      <c r="F71" s="148"/>
      <c r="G71" s="148"/>
      <c r="H71" s="148"/>
      <c r="AE71" s="4"/>
      <c r="AF71" s="4"/>
    </row>
    <row r="72" spans="5:32" ht="12.75">
      <c r="E72" s="148"/>
      <c r="F72" s="148"/>
      <c r="G72" s="148"/>
      <c r="H72" s="148"/>
      <c r="AE72" s="4"/>
      <c r="AF72" s="4"/>
    </row>
    <row r="73" spans="5:32" ht="12.75">
      <c r="E73" s="148"/>
      <c r="F73" s="148"/>
      <c r="G73" s="148"/>
      <c r="H73" s="148"/>
      <c r="AE73" s="4"/>
      <c r="AF73" s="4"/>
    </row>
    <row r="74" spans="5:32" ht="12.75">
      <c r="E74" s="148"/>
      <c r="F74" s="148"/>
      <c r="G74" s="148"/>
      <c r="H74" s="148"/>
      <c r="AE74" s="4"/>
      <c r="AF74" s="4"/>
    </row>
    <row r="75" spans="5:32" ht="12.75">
      <c r="E75" s="148"/>
      <c r="F75" s="148"/>
      <c r="G75" s="148"/>
      <c r="H75" s="148"/>
      <c r="AE75" s="4"/>
      <c r="AF75" s="4"/>
    </row>
    <row r="76" spans="5:32" ht="12.75">
      <c r="E76" s="148"/>
      <c r="F76" s="148"/>
      <c r="G76" s="148"/>
      <c r="H76" s="148"/>
      <c r="AE76" s="4"/>
      <c r="AF76" s="4"/>
    </row>
    <row r="77" spans="5:32" ht="12.75">
      <c r="E77" s="148"/>
      <c r="F77" s="148"/>
      <c r="G77" s="148"/>
      <c r="H77" s="148"/>
      <c r="AE77" s="4"/>
      <c r="AF77" s="4"/>
    </row>
    <row r="78" spans="5:32" ht="12.75">
      <c r="E78" s="148"/>
      <c r="F78" s="148"/>
      <c r="G78" s="148"/>
      <c r="H78" s="148"/>
      <c r="AE78" s="4"/>
      <c r="AF78" s="4"/>
    </row>
    <row r="79" spans="5:32" ht="12.75">
      <c r="E79" s="148"/>
      <c r="F79" s="148"/>
      <c r="G79" s="148"/>
      <c r="H79" s="148"/>
      <c r="AE79" s="4"/>
      <c r="AF79" s="4"/>
    </row>
    <row r="80" spans="5:32" ht="12.75">
      <c r="E80" s="148"/>
      <c r="F80" s="148"/>
      <c r="G80" s="148"/>
      <c r="H80" s="148"/>
      <c r="AE80" s="4"/>
      <c r="AF80" s="4"/>
    </row>
    <row r="81" spans="5:32" ht="12.75">
      <c r="E81" s="148"/>
      <c r="F81" s="148"/>
      <c r="G81" s="148"/>
      <c r="H81" s="148"/>
      <c r="AE81" s="4"/>
      <c r="AF81" s="4"/>
    </row>
    <row r="82" spans="5:32" ht="12.75">
      <c r="E82" s="148"/>
      <c r="F82" s="148"/>
      <c r="G82" s="148"/>
      <c r="H82" s="148"/>
      <c r="AE82" s="4"/>
      <c r="AF82" s="4"/>
    </row>
    <row r="83" spans="5:32" ht="12.75">
      <c r="E83" s="148"/>
      <c r="F83" s="148"/>
      <c r="G83" s="148"/>
      <c r="H83" s="148"/>
      <c r="AE83" s="4"/>
      <c r="AF83" s="4"/>
    </row>
    <row r="84" spans="5:32" ht="12.75">
      <c r="E84" s="148"/>
      <c r="F84" s="148"/>
      <c r="G84" s="148"/>
      <c r="H84" s="148"/>
      <c r="AE84" s="4"/>
      <c r="AF84" s="4"/>
    </row>
    <row r="85" spans="5:32" ht="12.75">
      <c r="E85" s="148"/>
      <c r="F85" s="148"/>
      <c r="G85" s="148"/>
      <c r="H85" s="148"/>
      <c r="AE85" s="4"/>
      <c r="AF85" s="4"/>
    </row>
    <row r="86" spans="5:32" ht="12.75">
      <c r="E86" s="148"/>
      <c r="F86" s="148"/>
      <c r="G86" s="148"/>
      <c r="H86" s="148"/>
      <c r="AE86" s="4"/>
      <c r="AF86" s="4"/>
    </row>
    <row r="87" spans="5:32" ht="12.75">
      <c r="E87" s="148"/>
      <c r="F87" s="148"/>
      <c r="G87" s="148"/>
      <c r="H87" s="148"/>
      <c r="AE87" s="4"/>
      <c r="AF87" s="4"/>
    </row>
    <row r="88" spans="5:32" ht="12.75">
      <c r="E88" s="148"/>
      <c r="F88" s="148"/>
      <c r="G88" s="148"/>
      <c r="H88" s="148"/>
      <c r="AE88" s="4"/>
      <c r="AF88" s="4"/>
    </row>
    <row r="89" spans="5:32" ht="12.75">
      <c r="E89" s="148"/>
      <c r="F89" s="148"/>
      <c r="G89" s="148"/>
      <c r="H89" s="148"/>
      <c r="AE89" s="4"/>
      <c r="AF89" s="4"/>
    </row>
    <row r="90" spans="5:32" ht="12.75">
      <c r="E90" s="148"/>
      <c r="F90" s="148"/>
      <c r="G90" s="148"/>
      <c r="H90" s="148"/>
      <c r="AE90" s="4"/>
      <c r="AF90" s="4"/>
    </row>
    <row r="91" spans="5:32" ht="12.75">
      <c r="E91" s="148"/>
      <c r="F91" s="148"/>
      <c r="G91" s="148"/>
      <c r="H91" s="148"/>
      <c r="AE91" s="4"/>
      <c r="AF91" s="4"/>
    </row>
    <row r="92" spans="5:32" ht="12.75">
      <c r="E92" s="148"/>
      <c r="F92" s="148"/>
      <c r="G92" s="148"/>
      <c r="H92" s="148"/>
      <c r="AE92" s="4"/>
      <c r="AF92" s="4"/>
    </row>
    <row r="93" spans="5:32" ht="12.75">
      <c r="E93" s="148"/>
      <c r="F93" s="148"/>
      <c r="G93" s="148"/>
      <c r="H93" s="148"/>
      <c r="AE93" s="4"/>
      <c r="AF93" s="4"/>
    </row>
    <row r="94" spans="5:32" ht="12.75">
      <c r="E94" s="148"/>
      <c r="F94" s="148"/>
      <c r="G94" s="148"/>
      <c r="H94" s="148"/>
      <c r="AE94" s="4"/>
      <c r="AF94" s="4"/>
    </row>
    <row r="95" spans="5:32" ht="12.75">
      <c r="E95" s="148"/>
      <c r="F95" s="148"/>
      <c r="G95" s="148"/>
      <c r="H95" s="148"/>
      <c r="AE95" s="4"/>
      <c r="AF95" s="4"/>
    </row>
    <row r="96" spans="5:32" ht="12.75">
      <c r="E96" s="148"/>
      <c r="F96" s="148"/>
      <c r="G96" s="148"/>
      <c r="H96" s="148"/>
      <c r="AE96" s="4"/>
      <c r="AF96" s="4"/>
    </row>
    <row r="97" spans="5:32" ht="12.75">
      <c r="E97" s="148"/>
      <c r="F97" s="148"/>
      <c r="G97" s="148"/>
      <c r="H97" s="148"/>
      <c r="AE97" s="4"/>
      <c r="AF97" s="4"/>
    </row>
    <row r="98" spans="5:32" ht="12.75">
      <c r="E98" s="148"/>
      <c r="F98" s="148"/>
      <c r="G98" s="148"/>
      <c r="H98" s="148"/>
      <c r="AE98" s="4"/>
      <c r="AF98" s="4"/>
    </row>
    <row r="99" spans="5:32" ht="12.75">
      <c r="E99" s="148"/>
      <c r="F99" s="148"/>
      <c r="G99" s="148"/>
      <c r="H99" s="148"/>
      <c r="AE99" s="4"/>
      <c r="AF99" s="4"/>
    </row>
    <row r="100" spans="5:32" ht="12.75">
      <c r="E100" s="148"/>
      <c r="F100" s="148"/>
      <c r="G100" s="148"/>
      <c r="H100" s="148"/>
      <c r="AE100" s="4"/>
      <c r="AF100" s="4"/>
    </row>
    <row r="101" spans="5:32" ht="12.75">
      <c r="E101" s="148"/>
      <c r="F101" s="148"/>
      <c r="G101" s="148"/>
      <c r="H101" s="148"/>
      <c r="AE101" s="4"/>
      <c r="AF101" s="4"/>
    </row>
    <row r="102" spans="5:32" ht="12.75">
      <c r="E102" s="148"/>
      <c r="F102" s="148"/>
      <c r="G102" s="148"/>
      <c r="H102" s="148"/>
      <c r="AE102" s="4"/>
      <c r="AF102" s="4"/>
    </row>
    <row r="103" spans="5:32" ht="12.75">
      <c r="E103" s="148"/>
      <c r="F103" s="148"/>
      <c r="G103" s="148"/>
      <c r="H103" s="148"/>
      <c r="AE103" s="4"/>
      <c r="AF103" s="4"/>
    </row>
    <row r="104" spans="5:32" ht="12.75">
      <c r="E104" s="148"/>
      <c r="F104" s="148"/>
      <c r="G104" s="148"/>
      <c r="H104" s="148"/>
      <c r="AE104" s="4"/>
      <c r="AF104" s="4"/>
    </row>
    <row r="105" spans="5:32" ht="12.75">
      <c r="E105" s="148"/>
      <c r="F105" s="148"/>
      <c r="G105" s="148"/>
      <c r="H105" s="148"/>
      <c r="AE105" s="4"/>
      <c r="AF105" s="4"/>
    </row>
    <row r="106" spans="5:32" ht="12.75">
      <c r="E106" s="148"/>
      <c r="F106" s="148"/>
      <c r="G106" s="148"/>
      <c r="H106" s="148"/>
      <c r="AE106" s="4"/>
      <c r="AF106" s="4"/>
    </row>
    <row r="107" spans="5:32" ht="12.75">
      <c r="E107" s="148"/>
      <c r="F107" s="148"/>
      <c r="G107" s="148"/>
      <c r="H107" s="148"/>
      <c r="AE107" s="4"/>
      <c r="AF107" s="4"/>
    </row>
    <row r="108" spans="5:32" ht="12.75">
      <c r="E108" s="148"/>
      <c r="F108" s="148"/>
      <c r="G108" s="148"/>
      <c r="H108" s="148"/>
      <c r="AE108" s="4"/>
      <c r="AF108" s="4"/>
    </row>
    <row r="109" spans="5:32" ht="12.75">
      <c r="E109" s="148"/>
      <c r="F109" s="148"/>
      <c r="G109" s="148"/>
      <c r="H109" s="148"/>
      <c r="AE109" s="4"/>
      <c r="AF109" s="4"/>
    </row>
    <row r="110" spans="5:32" ht="12.75">
      <c r="E110" s="148"/>
      <c r="F110" s="148"/>
      <c r="G110" s="148"/>
      <c r="H110" s="148"/>
      <c r="AE110" s="4"/>
      <c r="AF110" s="4"/>
    </row>
    <row r="111" spans="5:32" ht="12.75">
      <c r="E111" s="148"/>
      <c r="F111" s="148"/>
      <c r="G111" s="148"/>
      <c r="H111" s="148"/>
      <c r="AE111" s="4"/>
      <c r="AF111" s="4"/>
    </row>
    <row r="112" spans="5:32" ht="12.75">
      <c r="E112" s="148"/>
      <c r="F112" s="148"/>
      <c r="G112" s="148"/>
      <c r="H112" s="148"/>
      <c r="AE112" s="4"/>
      <c r="AF112" s="4"/>
    </row>
    <row r="113" spans="5:32" ht="12.75">
      <c r="E113" s="148"/>
      <c r="F113" s="148"/>
      <c r="G113" s="148"/>
      <c r="H113" s="148"/>
      <c r="AE113" s="4"/>
      <c r="AF113" s="4"/>
    </row>
    <row r="114" spans="5:32" ht="12.75">
      <c r="E114" s="148"/>
      <c r="F114" s="148"/>
      <c r="G114" s="148"/>
      <c r="H114" s="148"/>
      <c r="AE114" s="4"/>
      <c r="AF114" s="4"/>
    </row>
    <row r="115" spans="5:32" ht="12.75">
      <c r="E115" s="148"/>
      <c r="F115" s="148"/>
      <c r="G115" s="148"/>
      <c r="H115" s="148"/>
      <c r="AE115" s="4"/>
      <c r="AF115" s="4"/>
    </row>
    <row r="116" spans="5:32" ht="12.75">
      <c r="E116" s="148"/>
      <c r="F116" s="148"/>
      <c r="G116" s="148"/>
      <c r="H116" s="148"/>
      <c r="AE116" s="4"/>
      <c r="AF116" s="4"/>
    </row>
    <row r="117" spans="5:32" ht="12.75">
      <c r="E117" s="148"/>
      <c r="F117" s="148"/>
      <c r="G117" s="148"/>
      <c r="H117" s="148"/>
      <c r="AE117" s="4"/>
      <c r="AF117" s="4"/>
    </row>
    <row r="118" spans="5:32" ht="12.75">
      <c r="E118" s="148"/>
      <c r="F118" s="148"/>
      <c r="G118" s="148"/>
      <c r="H118" s="148"/>
      <c r="AE118" s="4"/>
      <c r="AF118" s="4"/>
    </row>
    <row r="119" spans="5:32" ht="12.75">
      <c r="E119" s="148"/>
      <c r="F119" s="148"/>
      <c r="G119" s="148"/>
      <c r="H119" s="148"/>
      <c r="AE119" s="4"/>
      <c r="AF119" s="4"/>
    </row>
    <row r="120" spans="5:32" ht="12.75">
      <c r="E120" s="148"/>
      <c r="F120" s="148"/>
      <c r="G120" s="148"/>
      <c r="H120" s="148"/>
      <c r="AE120" s="4"/>
      <c r="AF120" s="4"/>
    </row>
    <row r="121" spans="5:32" ht="12.75">
      <c r="E121" s="148"/>
      <c r="F121" s="148"/>
      <c r="G121" s="148"/>
      <c r="H121" s="148"/>
      <c r="AE121" s="4"/>
      <c r="AF121" s="4"/>
    </row>
    <row r="122" spans="5:32" ht="12.75">
      <c r="E122" s="148"/>
      <c r="F122" s="148"/>
      <c r="G122" s="148"/>
      <c r="H122" s="148"/>
      <c r="AE122" s="4"/>
      <c r="AF122" s="4"/>
    </row>
    <row r="123" spans="5:32" ht="12.75">
      <c r="E123" s="148"/>
      <c r="F123" s="148"/>
      <c r="G123" s="148"/>
      <c r="H123" s="148"/>
      <c r="AE123" s="4"/>
      <c r="AF123" s="4"/>
    </row>
    <row r="124" spans="5:32" ht="12.75">
      <c r="E124" s="148"/>
      <c r="F124" s="148"/>
      <c r="G124" s="148"/>
      <c r="H124" s="148"/>
      <c r="AE124" s="4"/>
      <c r="AF124" s="4"/>
    </row>
    <row r="125" spans="5:32" ht="12.75">
      <c r="E125" s="148"/>
      <c r="F125" s="148"/>
      <c r="G125" s="148"/>
      <c r="H125" s="148"/>
      <c r="AE125" s="4"/>
      <c r="AF125" s="4"/>
    </row>
    <row r="126" spans="5:32" ht="12.75">
      <c r="E126" s="148"/>
      <c r="F126" s="148"/>
      <c r="G126" s="148"/>
      <c r="H126" s="148"/>
      <c r="AE126" s="4"/>
      <c r="AF126" s="4"/>
    </row>
    <row r="127" spans="5:32" ht="12.75">
      <c r="E127" s="148"/>
      <c r="F127" s="148"/>
      <c r="G127" s="148"/>
      <c r="H127" s="148"/>
      <c r="AE127" s="4"/>
      <c r="AF127" s="4"/>
    </row>
    <row r="128" spans="5:32" ht="12.75">
      <c r="E128" s="148"/>
      <c r="F128" s="148"/>
      <c r="G128" s="148"/>
      <c r="H128" s="148"/>
      <c r="AE128" s="4"/>
      <c r="AF128" s="4"/>
    </row>
    <row r="129" spans="5:32" ht="12.75">
      <c r="E129" s="148"/>
      <c r="F129" s="148"/>
      <c r="G129" s="148"/>
      <c r="H129" s="148"/>
      <c r="AE129" s="4"/>
      <c r="AF129" s="4"/>
    </row>
    <row r="130" spans="5:32" ht="12.75">
      <c r="E130" s="148"/>
      <c r="F130" s="148"/>
      <c r="G130" s="148"/>
      <c r="H130" s="148"/>
      <c r="AE130" s="4"/>
      <c r="AF130" s="4"/>
    </row>
    <row r="131" spans="5:32" ht="12.75">
      <c r="E131" s="148"/>
      <c r="F131" s="148"/>
      <c r="G131" s="148"/>
      <c r="H131" s="148"/>
      <c r="AE131" s="4"/>
      <c r="AF131" s="4"/>
    </row>
    <row r="132" spans="5:32" ht="12.75">
      <c r="E132" s="148"/>
      <c r="F132" s="148"/>
      <c r="G132" s="148"/>
      <c r="H132" s="148"/>
      <c r="AE132" s="4"/>
      <c r="AF132" s="4"/>
    </row>
    <row r="133" spans="5:32" ht="12.75">
      <c r="E133" s="148"/>
      <c r="F133" s="148"/>
      <c r="G133" s="148"/>
      <c r="H133" s="148"/>
      <c r="AE133" s="4"/>
      <c r="AF133" s="4"/>
    </row>
    <row r="134" spans="5:32" ht="12.75">
      <c r="E134" s="148"/>
      <c r="F134" s="148"/>
      <c r="G134" s="148"/>
      <c r="H134" s="148"/>
      <c r="AE134" s="4"/>
      <c r="AF134" s="4"/>
    </row>
    <row r="135" spans="5:32" ht="12.75">
      <c r="E135" s="148"/>
      <c r="F135" s="148"/>
      <c r="G135" s="148"/>
      <c r="H135" s="148"/>
      <c r="AE135" s="4"/>
      <c r="AF135" s="4"/>
    </row>
    <row r="136" spans="5:32" ht="12.75">
      <c r="E136" s="148"/>
      <c r="F136" s="148"/>
      <c r="G136" s="148"/>
      <c r="H136" s="148"/>
      <c r="AE136" s="4"/>
      <c r="AF136" s="4"/>
    </row>
    <row r="137" spans="5:32" ht="12.75">
      <c r="E137" s="148"/>
      <c r="F137" s="148"/>
      <c r="G137" s="148"/>
      <c r="H137" s="148"/>
      <c r="AE137" s="4"/>
      <c r="AF137" s="4"/>
    </row>
    <row r="138" spans="5:32" ht="12.75">
      <c r="E138" s="148"/>
      <c r="F138" s="148"/>
      <c r="G138" s="148"/>
      <c r="H138" s="148"/>
      <c r="AE138" s="4"/>
      <c r="AF138" s="4"/>
    </row>
    <row r="139" spans="5:32" ht="12.75">
      <c r="E139" s="148"/>
      <c r="F139" s="148"/>
      <c r="G139" s="148"/>
      <c r="H139" s="148"/>
      <c r="AE139" s="4"/>
      <c r="AF139" s="4"/>
    </row>
    <row r="140" spans="5:32" ht="12.75">
      <c r="E140" s="148"/>
      <c r="F140" s="148"/>
      <c r="G140" s="148"/>
      <c r="H140" s="148"/>
      <c r="AE140" s="4"/>
      <c r="AF140" s="4"/>
    </row>
    <row r="141" spans="5:32" ht="12.75">
      <c r="E141" s="148"/>
      <c r="F141" s="148"/>
      <c r="G141" s="148"/>
      <c r="H141" s="148"/>
      <c r="AE141" s="4"/>
      <c r="AF141" s="4"/>
    </row>
    <row r="142" spans="5:32" ht="12.75">
      <c r="E142" s="148"/>
      <c r="F142" s="148"/>
      <c r="G142" s="148"/>
      <c r="H142" s="148"/>
      <c r="AE142" s="4"/>
      <c r="AF142" s="4"/>
    </row>
    <row r="143" spans="5:32" ht="12.75">
      <c r="E143" s="148"/>
      <c r="F143" s="148"/>
      <c r="G143" s="148"/>
      <c r="H143" s="148"/>
      <c r="AE143" s="4"/>
      <c r="AF143" s="4"/>
    </row>
    <row r="144" spans="5:32" ht="12.75">
      <c r="E144" s="148"/>
      <c r="F144" s="148"/>
      <c r="G144" s="148"/>
      <c r="H144" s="148"/>
      <c r="AE144" s="4"/>
      <c r="AF144" s="4"/>
    </row>
    <row r="145" spans="5:32" ht="12.75">
      <c r="E145" s="148"/>
      <c r="F145" s="148"/>
      <c r="G145" s="148"/>
      <c r="H145" s="148"/>
      <c r="AE145" s="4"/>
      <c r="AF145" s="4"/>
    </row>
    <row r="146" spans="5:32" ht="12.75">
      <c r="E146" s="148"/>
      <c r="F146" s="148"/>
      <c r="G146" s="148"/>
      <c r="H146" s="148"/>
      <c r="AE146" s="4"/>
      <c r="AF146" s="4"/>
    </row>
    <row r="147" spans="5:32" ht="12.75">
      <c r="E147" s="148"/>
      <c r="F147" s="148"/>
      <c r="G147" s="148"/>
      <c r="H147" s="148"/>
      <c r="AE147" s="4"/>
      <c r="AF147" s="4"/>
    </row>
    <row r="148" spans="5:32" ht="12.75">
      <c r="E148" s="148"/>
      <c r="F148" s="148"/>
      <c r="G148" s="148"/>
      <c r="H148" s="148"/>
      <c r="AE148" s="4"/>
      <c r="AF148" s="4"/>
    </row>
    <row r="149" spans="5:32" ht="12.75">
      <c r="E149" s="148"/>
      <c r="F149" s="148"/>
      <c r="G149" s="148"/>
      <c r="H149" s="148"/>
      <c r="AE149" s="4"/>
      <c r="AF149" s="4"/>
    </row>
    <row r="150" spans="5:32" ht="12.75">
      <c r="E150" s="148"/>
      <c r="F150" s="148"/>
      <c r="G150" s="148"/>
      <c r="H150" s="148"/>
      <c r="AE150" s="4"/>
      <c r="AF150" s="4"/>
    </row>
    <row r="151" spans="5:32" ht="12.75">
      <c r="E151" s="148"/>
      <c r="F151" s="148"/>
      <c r="G151" s="148"/>
      <c r="H151" s="148"/>
      <c r="AE151" s="4"/>
      <c r="AF151" s="4"/>
    </row>
    <row r="152" spans="5:32" ht="12.75">
      <c r="E152" s="148"/>
      <c r="F152" s="148"/>
      <c r="G152" s="148"/>
      <c r="H152" s="148"/>
      <c r="AE152" s="4"/>
      <c r="AF152" s="4"/>
    </row>
    <row r="153" spans="5:32" ht="12.75">
      <c r="E153" s="148"/>
      <c r="F153" s="148"/>
      <c r="G153" s="148"/>
      <c r="H153" s="148"/>
      <c r="AE153" s="4"/>
      <c r="AF153" s="4"/>
    </row>
    <row r="154" spans="5:32" ht="12.75">
      <c r="E154" s="148"/>
      <c r="F154" s="148"/>
      <c r="G154" s="148"/>
      <c r="H154" s="148"/>
      <c r="AE154" s="4"/>
      <c r="AF154" s="4"/>
    </row>
    <row r="155" spans="5:32" ht="12.75">
      <c r="E155" s="148"/>
      <c r="F155" s="148"/>
      <c r="G155" s="148"/>
      <c r="H155" s="148"/>
      <c r="AE155" s="4"/>
      <c r="AF155" s="4"/>
    </row>
    <row r="156" spans="5:32" ht="12.75">
      <c r="E156" s="148"/>
      <c r="F156" s="148"/>
      <c r="G156" s="148"/>
      <c r="H156" s="148"/>
      <c r="AE156" s="4"/>
      <c r="AF156" s="4"/>
    </row>
    <row r="157" spans="5:32" ht="12.75">
      <c r="E157" s="148"/>
      <c r="F157" s="148"/>
      <c r="G157" s="148"/>
      <c r="H157" s="148"/>
      <c r="AE157" s="4"/>
      <c r="AF157" s="4"/>
    </row>
    <row r="158" spans="5:32" ht="12.75">
      <c r="E158" s="148"/>
      <c r="F158" s="148"/>
      <c r="G158" s="148"/>
      <c r="H158" s="148"/>
      <c r="AE158" s="4"/>
      <c r="AF158" s="4"/>
    </row>
    <row r="159" spans="5:32" ht="12.75">
      <c r="E159" s="148"/>
      <c r="F159" s="148"/>
      <c r="G159" s="148"/>
      <c r="H159" s="148"/>
      <c r="AE159" s="4"/>
      <c r="AF159" s="4"/>
    </row>
    <row r="160" spans="5:32" ht="12.75">
      <c r="E160" s="148"/>
      <c r="F160" s="148"/>
      <c r="G160" s="148"/>
      <c r="H160" s="148"/>
      <c r="AE160" s="4"/>
      <c r="AF160" s="4"/>
    </row>
    <row r="161" spans="5:32" ht="12.75">
      <c r="E161" s="148"/>
      <c r="F161" s="148"/>
      <c r="G161" s="148"/>
      <c r="H161" s="148"/>
      <c r="AE161" s="4"/>
      <c r="AF161" s="4"/>
    </row>
    <row r="162" spans="5:32" ht="12.75">
      <c r="E162" s="148"/>
      <c r="F162" s="148"/>
      <c r="G162" s="148"/>
      <c r="H162" s="148"/>
      <c r="AE162" s="4"/>
      <c r="AF162" s="4"/>
    </row>
    <row r="163" spans="5:32" ht="12.75">
      <c r="E163" s="148"/>
      <c r="F163" s="148"/>
      <c r="G163" s="148"/>
      <c r="H163" s="148"/>
      <c r="AE163" s="4"/>
      <c r="AF163" s="4"/>
    </row>
    <row r="164" spans="5:32" ht="12.75">
      <c r="E164" s="148"/>
      <c r="F164" s="148"/>
      <c r="G164" s="148"/>
      <c r="H164" s="148"/>
      <c r="AE164" s="4"/>
      <c r="AF164" s="4"/>
    </row>
    <row r="165" spans="5:32" ht="12.75">
      <c r="E165" s="148"/>
      <c r="F165" s="148"/>
      <c r="G165" s="148"/>
      <c r="H165" s="148"/>
      <c r="AE165" s="4"/>
      <c r="AF165" s="4"/>
    </row>
    <row r="166" spans="5:32" ht="12.75">
      <c r="E166" s="148"/>
      <c r="F166" s="148"/>
      <c r="G166" s="148"/>
      <c r="H166" s="148"/>
      <c r="AE166" s="4"/>
      <c r="AF166" s="4"/>
    </row>
    <row r="167" spans="5:32" ht="12.75">
      <c r="E167" s="148"/>
      <c r="F167" s="148"/>
      <c r="G167" s="148"/>
      <c r="H167" s="148"/>
      <c r="AE167" s="4"/>
      <c r="AF167" s="4"/>
    </row>
    <row r="168" spans="5:32" ht="12.75">
      <c r="E168" s="148"/>
      <c r="F168" s="148"/>
      <c r="G168" s="148"/>
      <c r="H168" s="148"/>
      <c r="AE168" s="4"/>
      <c r="AF168" s="4"/>
    </row>
    <row r="169" spans="5:32" ht="12.75">
      <c r="E169" s="148"/>
      <c r="F169" s="148"/>
      <c r="G169" s="148"/>
      <c r="H169" s="148"/>
      <c r="AE169" s="4"/>
      <c r="AF169" s="4"/>
    </row>
    <row r="170" spans="5:32" ht="12.75">
      <c r="E170" s="148"/>
      <c r="F170" s="148"/>
      <c r="G170" s="148"/>
      <c r="H170" s="148"/>
      <c r="AE170" s="4"/>
      <c r="AF170" s="4"/>
    </row>
    <row r="171" spans="5:32" ht="12.75">
      <c r="E171" s="148"/>
      <c r="F171" s="148"/>
      <c r="G171" s="148"/>
      <c r="H171" s="148"/>
      <c r="AE171" s="4"/>
      <c r="AF171" s="4"/>
    </row>
    <row r="172" spans="5:32" ht="12.75">
      <c r="E172" s="148"/>
      <c r="F172" s="148"/>
      <c r="G172" s="148"/>
      <c r="H172" s="148"/>
      <c r="AE172" s="4"/>
      <c r="AF172" s="4"/>
    </row>
    <row r="173" spans="5:32" ht="12.75">
      <c r="E173" s="148"/>
      <c r="F173" s="148"/>
      <c r="G173" s="148"/>
      <c r="H173" s="148"/>
      <c r="AE173" s="4"/>
      <c r="AF173" s="4"/>
    </row>
    <row r="174" spans="5:32" ht="12.75">
      <c r="E174" s="148"/>
      <c r="F174" s="148"/>
      <c r="G174" s="148"/>
      <c r="H174" s="148"/>
      <c r="AE174" s="4"/>
      <c r="AF174" s="4"/>
    </row>
    <row r="175" spans="5:32" ht="12.75">
      <c r="E175" s="148"/>
      <c r="F175" s="148"/>
      <c r="G175" s="148"/>
      <c r="H175" s="148"/>
      <c r="AE175" s="4"/>
      <c r="AF175" s="4"/>
    </row>
    <row r="176" spans="5:32" ht="12.75">
      <c r="E176" s="148"/>
      <c r="F176" s="148"/>
      <c r="G176" s="148"/>
      <c r="H176" s="148"/>
      <c r="AE176" s="4"/>
      <c r="AF176" s="4"/>
    </row>
    <row r="177" spans="5:32" ht="12.75">
      <c r="E177" s="148"/>
      <c r="F177" s="148"/>
      <c r="G177" s="148"/>
      <c r="H177" s="148"/>
      <c r="AE177" s="4"/>
      <c r="AF177" s="4"/>
    </row>
    <row r="178" spans="5:32" ht="12.75">
      <c r="E178" s="148"/>
      <c r="F178" s="148"/>
      <c r="G178" s="148"/>
      <c r="H178" s="148"/>
      <c r="AE178" s="4"/>
      <c r="AF178" s="4"/>
    </row>
    <row r="179" spans="5:32" ht="12.75">
      <c r="E179" s="148"/>
      <c r="F179" s="148"/>
      <c r="G179" s="148"/>
      <c r="H179" s="148"/>
      <c r="AE179" s="4"/>
      <c r="AF179" s="4"/>
    </row>
    <row r="180" spans="5:32" ht="12.75">
      <c r="E180" s="148"/>
      <c r="F180" s="148"/>
      <c r="G180" s="148"/>
      <c r="H180" s="148"/>
      <c r="AE180" s="4"/>
      <c r="AF180" s="4"/>
    </row>
    <row r="181" spans="5:32" ht="12.75">
      <c r="E181" s="148"/>
      <c r="F181" s="148"/>
      <c r="G181" s="148"/>
      <c r="H181" s="148"/>
      <c r="AE181" s="4"/>
      <c r="AF181" s="4"/>
    </row>
    <row r="182" spans="5:32" ht="12.75">
      <c r="E182" s="148"/>
      <c r="F182" s="148"/>
      <c r="G182" s="148"/>
      <c r="H182" s="148"/>
      <c r="AE182" s="4"/>
      <c r="AF182" s="4"/>
    </row>
    <row r="183" spans="5:32" ht="12.75">
      <c r="E183" s="148"/>
      <c r="F183" s="148"/>
      <c r="G183" s="148"/>
      <c r="H183" s="148"/>
      <c r="AE183" s="4"/>
      <c r="AF183" s="4"/>
    </row>
    <row r="184" spans="5:32" ht="12.75">
      <c r="E184" s="148"/>
      <c r="F184" s="148"/>
      <c r="G184" s="148"/>
      <c r="H184" s="148"/>
      <c r="AE184" s="4"/>
      <c r="AF184" s="4"/>
    </row>
    <row r="185" spans="5:32" ht="12.75">
      <c r="E185" s="148"/>
      <c r="F185" s="148"/>
      <c r="G185" s="148"/>
      <c r="H185" s="148"/>
      <c r="AE185" s="4"/>
      <c r="AF185" s="4"/>
    </row>
    <row r="186" spans="5:32" ht="12.75">
      <c r="E186" s="148"/>
      <c r="F186" s="148"/>
      <c r="G186" s="148"/>
      <c r="H186" s="148"/>
      <c r="AE186" s="4"/>
      <c r="AF186" s="4"/>
    </row>
    <row r="187" spans="5:32" ht="12.75">
      <c r="E187" s="148"/>
      <c r="F187" s="148"/>
      <c r="G187" s="148"/>
      <c r="H187" s="148"/>
      <c r="AE187" s="4"/>
      <c r="AF187" s="4"/>
    </row>
    <row r="188" spans="5:32" ht="12.75">
      <c r="E188" s="148"/>
      <c r="F188" s="148"/>
      <c r="G188" s="148"/>
      <c r="H188" s="148"/>
      <c r="AE188" s="4"/>
      <c r="AF188" s="4"/>
    </row>
    <row r="189" spans="5:32" ht="12.75">
      <c r="E189" s="148"/>
      <c r="F189" s="148"/>
      <c r="G189" s="148"/>
      <c r="H189" s="148"/>
      <c r="AE189" s="4"/>
      <c r="AF189" s="4"/>
    </row>
    <row r="190" spans="5:32" ht="12.75">
      <c r="E190" s="148"/>
      <c r="F190" s="148"/>
      <c r="G190" s="148"/>
      <c r="H190" s="148"/>
      <c r="AE190" s="4"/>
      <c r="AF190" s="4"/>
    </row>
    <row r="191" spans="5:32" ht="12.75">
      <c r="E191" s="148"/>
      <c r="F191" s="148"/>
      <c r="G191" s="148"/>
      <c r="H191" s="148"/>
      <c r="AE191" s="4"/>
      <c r="AF191" s="4"/>
    </row>
    <row r="192" spans="5:32" ht="12.75">
      <c r="E192" s="148"/>
      <c r="F192" s="148"/>
      <c r="G192" s="148"/>
      <c r="H192" s="148"/>
      <c r="AE192" s="4"/>
      <c r="AF192" s="4"/>
    </row>
    <row r="193" spans="5:32" ht="12.75">
      <c r="E193" s="148"/>
      <c r="F193" s="148"/>
      <c r="G193" s="148"/>
      <c r="H193" s="148"/>
      <c r="AE193" s="4"/>
      <c r="AF193" s="4"/>
    </row>
    <row r="194" spans="5:32" ht="12.75">
      <c r="E194" s="148"/>
      <c r="F194" s="148"/>
      <c r="G194" s="148"/>
      <c r="H194" s="148"/>
      <c r="AE194" s="4"/>
      <c r="AF194" s="4"/>
    </row>
    <row r="195" spans="5:32" ht="12.75">
      <c r="E195" s="148"/>
      <c r="F195" s="148"/>
      <c r="G195" s="148"/>
      <c r="H195" s="148"/>
      <c r="AE195" s="4"/>
      <c r="AF195" s="4"/>
    </row>
    <row r="196" spans="5:32" ht="12.75">
      <c r="E196" s="148"/>
      <c r="F196" s="148"/>
      <c r="G196" s="148"/>
      <c r="H196" s="148"/>
      <c r="AE196" s="4"/>
      <c r="AF196" s="4"/>
    </row>
    <row r="197" spans="5:32" ht="12.75">
      <c r="E197" s="148"/>
      <c r="F197" s="148"/>
      <c r="G197" s="148"/>
      <c r="H197" s="148"/>
      <c r="AE197" s="4"/>
      <c r="AF197" s="4"/>
    </row>
    <row r="198" spans="5:32" ht="12.75">
      <c r="E198" s="148"/>
      <c r="F198" s="148"/>
      <c r="G198" s="148"/>
      <c r="H198" s="148"/>
      <c r="AE198" s="4"/>
      <c r="AF198" s="4"/>
    </row>
    <row r="199" spans="5:32" ht="12.75">
      <c r="E199" s="148"/>
      <c r="F199" s="148"/>
      <c r="G199" s="148"/>
      <c r="H199" s="148"/>
      <c r="AE199" s="4"/>
      <c r="AF199" s="4"/>
    </row>
    <row r="200" spans="5:32" ht="12.75">
      <c r="E200" s="148"/>
      <c r="F200" s="148"/>
      <c r="G200" s="148"/>
      <c r="H200" s="148"/>
      <c r="AE200" s="4"/>
      <c r="AF200" s="4"/>
    </row>
    <row r="201" spans="5:32" ht="12.75">
      <c r="E201" s="148"/>
      <c r="F201" s="148"/>
      <c r="G201" s="148"/>
      <c r="H201" s="148"/>
      <c r="AE201" s="4"/>
      <c r="AF201" s="4"/>
    </row>
    <row r="202" spans="5:32" ht="12.75">
      <c r="E202" s="148"/>
      <c r="F202" s="148"/>
      <c r="G202" s="148"/>
      <c r="H202" s="148"/>
      <c r="AE202" s="4"/>
      <c r="AF202" s="4"/>
    </row>
    <row r="203" spans="5:32" ht="12.75">
      <c r="E203" s="148"/>
      <c r="F203" s="148"/>
      <c r="G203" s="148"/>
      <c r="H203" s="148"/>
      <c r="AE203" s="4"/>
      <c r="AF203" s="4"/>
    </row>
    <row r="204" spans="5:32" ht="12.75">
      <c r="E204" s="148"/>
      <c r="F204" s="148"/>
      <c r="G204" s="148"/>
      <c r="H204" s="148"/>
      <c r="AE204" s="4"/>
      <c r="AF204" s="4"/>
    </row>
    <row r="205" spans="5:32" ht="12.75">
      <c r="E205" s="148"/>
      <c r="F205" s="148"/>
      <c r="G205" s="148"/>
      <c r="H205" s="148"/>
      <c r="AE205" s="4"/>
      <c r="AF205" s="4"/>
    </row>
    <row r="206" spans="5:32" ht="12.75">
      <c r="E206" s="148"/>
      <c r="F206" s="148"/>
      <c r="G206" s="148"/>
      <c r="H206" s="148"/>
      <c r="AE206" s="4"/>
      <c r="AF206" s="4"/>
    </row>
    <row r="207" spans="5:32" ht="12.75">
      <c r="E207" s="148"/>
      <c r="F207" s="148"/>
      <c r="G207" s="148"/>
      <c r="H207" s="148"/>
      <c r="AE207" s="4"/>
      <c r="AF207" s="4"/>
    </row>
    <row r="208" spans="5:32" ht="12.75">
      <c r="E208" s="148"/>
      <c r="F208" s="148"/>
      <c r="G208" s="148"/>
      <c r="H208" s="148"/>
      <c r="AE208" s="4"/>
      <c r="AF208" s="4"/>
    </row>
    <row r="209" spans="5:32" ht="12.75">
      <c r="E209" s="148"/>
      <c r="F209" s="148"/>
      <c r="G209" s="148"/>
      <c r="H209" s="148"/>
      <c r="AE209" s="4"/>
      <c r="AF209" s="4"/>
    </row>
    <row r="210" spans="5:32" ht="12.75">
      <c r="E210" s="148"/>
      <c r="F210" s="148"/>
      <c r="G210" s="148"/>
      <c r="H210" s="148"/>
      <c r="AE210" s="4"/>
      <c r="AF210" s="4"/>
    </row>
    <row r="211" spans="5:32" ht="12.75">
      <c r="E211" s="148"/>
      <c r="F211" s="148"/>
      <c r="G211" s="148"/>
      <c r="H211" s="148"/>
      <c r="AE211" s="4"/>
      <c r="AF211" s="4"/>
    </row>
    <row r="212" spans="5:32" ht="12.75">
      <c r="E212" s="148"/>
      <c r="F212" s="148"/>
      <c r="G212" s="148"/>
      <c r="H212" s="148"/>
      <c r="AE212" s="4"/>
      <c r="AF212" s="4"/>
    </row>
    <row r="213" spans="5:32" ht="12.75">
      <c r="E213" s="148"/>
      <c r="F213" s="148"/>
      <c r="G213" s="148"/>
      <c r="H213" s="148"/>
      <c r="AE213" s="4"/>
      <c r="AF213" s="4"/>
    </row>
    <row r="214" spans="5:32" ht="12.75">
      <c r="E214" s="148"/>
      <c r="F214" s="148"/>
      <c r="G214" s="148"/>
      <c r="H214" s="148"/>
      <c r="AE214" s="4"/>
      <c r="AF214" s="4"/>
    </row>
    <row r="215" spans="5:32" ht="12.75">
      <c r="E215" s="148"/>
      <c r="F215" s="148"/>
      <c r="G215" s="148"/>
      <c r="H215" s="148"/>
      <c r="AE215" s="4"/>
      <c r="AF215" s="4"/>
    </row>
    <row r="216" spans="5:32" ht="12.75">
      <c r="E216" s="148"/>
      <c r="F216" s="148"/>
      <c r="G216" s="148"/>
      <c r="H216" s="148"/>
      <c r="AE216" s="4"/>
      <c r="AF216" s="4"/>
    </row>
    <row r="217" spans="5:32" ht="12.75">
      <c r="E217" s="148"/>
      <c r="F217" s="148"/>
      <c r="G217" s="148"/>
      <c r="H217" s="148"/>
      <c r="AE217" s="4"/>
      <c r="AF217" s="4"/>
    </row>
    <row r="218" spans="5:32" ht="12.75">
      <c r="E218" s="148"/>
      <c r="F218" s="148"/>
      <c r="G218" s="148"/>
      <c r="H218" s="148"/>
      <c r="AE218" s="4"/>
      <c r="AF218" s="4"/>
    </row>
    <row r="219" spans="5:32" ht="12.75">
      <c r="E219" s="148"/>
      <c r="F219" s="148"/>
      <c r="G219" s="148"/>
      <c r="H219" s="148"/>
      <c r="AE219" s="4"/>
      <c r="AF219" s="4"/>
    </row>
    <row r="220" spans="5:32" ht="12.75">
      <c r="E220" s="148"/>
      <c r="F220" s="148"/>
      <c r="G220" s="148"/>
      <c r="H220" s="148"/>
      <c r="AE220" s="4"/>
      <c r="AF220" s="4"/>
    </row>
    <row r="221" spans="5:32" ht="12.75">
      <c r="E221" s="148"/>
      <c r="F221" s="148"/>
      <c r="G221" s="148"/>
      <c r="H221" s="148"/>
      <c r="AE221" s="4"/>
      <c r="AF221" s="4"/>
    </row>
    <row r="222" spans="5:32" ht="12.75">
      <c r="E222" s="148"/>
      <c r="F222" s="148"/>
      <c r="G222" s="148"/>
      <c r="H222" s="148"/>
      <c r="AE222" s="4"/>
      <c r="AF222" s="4"/>
    </row>
    <row r="223" spans="5:32" ht="12.75">
      <c r="E223" s="148"/>
      <c r="F223" s="148"/>
      <c r="G223" s="148"/>
      <c r="H223" s="148"/>
      <c r="AE223" s="4"/>
      <c r="AF223" s="4"/>
    </row>
    <row r="224" spans="5:32" ht="12.75">
      <c r="E224" s="148"/>
      <c r="F224" s="148"/>
      <c r="G224" s="148"/>
      <c r="H224" s="148"/>
      <c r="AE224" s="4"/>
      <c r="AF224" s="4"/>
    </row>
    <row r="225" spans="5:32" ht="12.75">
      <c r="E225" s="148"/>
      <c r="F225" s="148"/>
      <c r="G225" s="148"/>
      <c r="H225" s="148"/>
      <c r="AE225" s="4"/>
      <c r="AF225" s="4"/>
    </row>
    <row r="226" spans="5:32" ht="12.75">
      <c r="E226" s="148"/>
      <c r="F226" s="148"/>
      <c r="G226" s="148"/>
      <c r="H226" s="148"/>
      <c r="AE226" s="4"/>
      <c r="AF226" s="4"/>
    </row>
    <row r="227" spans="5:32" ht="12.75">
      <c r="E227" s="148"/>
      <c r="F227" s="148"/>
      <c r="G227" s="148"/>
      <c r="H227" s="148"/>
      <c r="AE227" s="4"/>
      <c r="AF227" s="4"/>
    </row>
    <row r="228" spans="5:32" ht="12.75">
      <c r="E228" s="148"/>
      <c r="F228" s="148"/>
      <c r="G228" s="148"/>
      <c r="H228" s="148"/>
      <c r="AE228" s="4"/>
      <c r="AF228" s="4"/>
    </row>
    <row r="229" spans="5:32" ht="12.75">
      <c r="E229" s="148"/>
      <c r="F229" s="148"/>
      <c r="G229" s="148"/>
      <c r="H229" s="148"/>
      <c r="AE229" s="4"/>
      <c r="AF229" s="4"/>
    </row>
    <row r="230" spans="5:32" ht="12.75">
      <c r="E230" s="148"/>
      <c r="F230" s="148"/>
      <c r="G230" s="148"/>
      <c r="H230" s="148"/>
      <c r="AE230" s="4"/>
      <c r="AF230" s="4"/>
    </row>
    <row r="231" spans="5:32" ht="12.75">
      <c r="E231" s="148"/>
      <c r="F231" s="148"/>
      <c r="G231" s="148"/>
      <c r="H231" s="148"/>
      <c r="AE231" s="4"/>
      <c r="AF231" s="4"/>
    </row>
    <row r="232" spans="5:32" ht="12.75">
      <c r="E232" s="148"/>
      <c r="F232" s="148"/>
      <c r="G232" s="148"/>
      <c r="H232" s="148"/>
      <c r="AE232" s="4"/>
      <c r="AF232" s="4"/>
    </row>
    <row r="233" spans="5:32" ht="12.75">
      <c r="E233" s="148"/>
      <c r="F233" s="148"/>
      <c r="G233" s="148"/>
      <c r="H233" s="148"/>
      <c r="AE233" s="4"/>
      <c r="AF233" s="4"/>
    </row>
    <row r="234" spans="5:32" ht="12.75">
      <c r="E234" s="148"/>
      <c r="F234" s="148"/>
      <c r="G234" s="148"/>
      <c r="H234" s="148"/>
      <c r="AE234" s="4"/>
      <c r="AF234" s="4"/>
    </row>
    <row r="235" spans="5:32" ht="12.75">
      <c r="E235" s="148"/>
      <c r="F235" s="148"/>
      <c r="G235" s="148"/>
      <c r="H235" s="148"/>
      <c r="AE235" s="4"/>
      <c r="AF235" s="4"/>
    </row>
    <row r="236" spans="5:32" ht="12.75">
      <c r="E236" s="148"/>
      <c r="F236" s="148"/>
      <c r="G236" s="148"/>
      <c r="H236" s="148"/>
      <c r="AE236" s="4"/>
      <c r="AF236" s="4"/>
    </row>
    <row r="237" spans="5:32" ht="12.75">
      <c r="E237" s="148"/>
      <c r="F237" s="148"/>
      <c r="G237" s="148"/>
      <c r="H237" s="148"/>
      <c r="AE237" s="4"/>
      <c r="AF237" s="4"/>
    </row>
    <row r="238" spans="5:32" ht="12.75">
      <c r="E238" s="148"/>
      <c r="F238" s="148"/>
      <c r="G238" s="148"/>
      <c r="H238" s="148"/>
      <c r="AE238" s="4"/>
      <c r="AF238" s="4"/>
    </row>
    <row r="239" spans="5:32" ht="12.75">
      <c r="E239" s="148"/>
      <c r="F239" s="148"/>
      <c r="G239" s="148"/>
      <c r="H239" s="148"/>
      <c r="AE239" s="4"/>
      <c r="AF239" s="4"/>
    </row>
    <row r="240" spans="5:32" ht="12.75">
      <c r="E240" s="148"/>
      <c r="F240" s="148"/>
      <c r="G240" s="148"/>
      <c r="H240" s="148"/>
      <c r="AE240" s="4"/>
      <c r="AF240" s="4"/>
    </row>
    <row r="241" spans="5:32" ht="12.75">
      <c r="E241" s="148"/>
      <c r="F241" s="148"/>
      <c r="G241" s="148"/>
      <c r="H241" s="148"/>
      <c r="AE241" s="4"/>
      <c r="AF241" s="4"/>
    </row>
    <row r="242" spans="5:32" ht="12.75">
      <c r="E242" s="148"/>
      <c r="F242" s="148"/>
      <c r="G242" s="148"/>
      <c r="H242" s="148"/>
      <c r="AE242" s="4"/>
      <c r="AF242" s="4"/>
    </row>
    <row r="243" spans="5:32" ht="12.75">
      <c r="E243" s="148"/>
      <c r="F243" s="148"/>
      <c r="G243" s="148"/>
      <c r="H243" s="148"/>
      <c r="AE243" s="4"/>
      <c r="AF243" s="4"/>
    </row>
    <row r="244" spans="5:32" ht="12.75">
      <c r="E244" s="148"/>
      <c r="F244" s="148"/>
      <c r="G244" s="148"/>
      <c r="H244" s="148"/>
      <c r="AE244" s="4"/>
      <c r="AF244" s="4"/>
    </row>
    <row r="245" spans="5:32" ht="12.75">
      <c r="E245" s="148"/>
      <c r="F245" s="148"/>
      <c r="G245" s="148"/>
      <c r="H245" s="148"/>
      <c r="AE245" s="4"/>
      <c r="AF245" s="4"/>
    </row>
    <row r="246" spans="5:32" ht="12.75">
      <c r="E246" s="148"/>
      <c r="F246" s="148"/>
      <c r="G246" s="148"/>
      <c r="H246" s="148"/>
      <c r="AE246" s="4"/>
      <c r="AF246" s="4"/>
    </row>
    <row r="247" spans="5:32" ht="12.75">
      <c r="E247" s="148"/>
      <c r="F247" s="148"/>
      <c r="G247" s="148"/>
      <c r="H247" s="148"/>
      <c r="AE247" s="4"/>
      <c r="AF247" s="4"/>
    </row>
    <row r="248" spans="5:32" ht="12.75">
      <c r="E248" s="148"/>
      <c r="F248" s="148"/>
      <c r="G248" s="148"/>
      <c r="H248" s="148"/>
      <c r="AE248" s="4"/>
      <c r="AF248" s="4"/>
    </row>
    <row r="249" spans="5:32" ht="12.75">
      <c r="E249" s="148"/>
      <c r="F249" s="148"/>
      <c r="G249" s="148"/>
      <c r="H249" s="148"/>
      <c r="AE249" s="4"/>
      <c r="AF249" s="4"/>
    </row>
    <row r="250" spans="5:32" ht="12.75">
      <c r="E250" s="148"/>
      <c r="F250" s="148"/>
      <c r="G250" s="148"/>
      <c r="H250" s="148"/>
      <c r="AE250" s="4"/>
      <c r="AF250" s="4"/>
    </row>
    <row r="251" spans="5:32" ht="12.75">
      <c r="E251" s="148"/>
      <c r="F251" s="148"/>
      <c r="G251" s="148"/>
      <c r="H251" s="148"/>
      <c r="AE251" s="4"/>
      <c r="AF251" s="4"/>
    </row>
    <row r="252" spans="5:32" ht="12.75">
      <c r="E252" s="148"/>
      <c r="F252" s="148"/>
      <c r="G252" s="148"/>
      <c r="H252" s="148"/>
      <c r="AE252" s="4"/>
      <c r="AF252" s="4"/>
    </row>
    <row r="253" spans="5:32" ht="12.75">
      <c r="E253" s="148"/>
      <c r="F253" s="148"/>
      <c r="G253" s="148"/>
      <c r="H253" s="148"/>
      <c r="AE253" s="4"/>
      <c r="AF253" s="4"/>
    </row>
    <row r="254" spans="5:32" ht="12.75">
      <c r="E254" s="148"/>
      <c r="F254" s="148"/>
      <c r="G254" s="148"/>
      <c r="H254" s="148"/>
      <c r="AE254" s="4"/>
      <c r="AF254" s="4"/>
    </row>
    <row r="255" spans="5:32" ht="12.75">
      <c r="E255" s="148"/>
      <c r="F255" s="148"/>
      <c r="G255" s="148"/>
      <c r="H255" s="148"/>
      <c r="AE255" s="4"/>
      <c r="AF255" s="4"/>
    </row>
    <row r="256" spans="5:32" ht="12.75">
      <c r="E256" s="148"/>
      <c r="F256" s="148"/>
      <c r="G256" s="148"/>
      <c r="H256" s="148"/>
      <c r="AE256" s="4"/>
      <c r="AF256" s="4"/>
    </row>
    <row r="257" spans="5:32" ht="12.75">
      <c r="E257" s="148"/>
      <c r="F257" s="148"/>
      <c r="G257" s="148"/>
      <c r="H257" s="148"/>
      <c r="AE257" s="4"/>
      <c r="AF257" s="4"/>
    </row>
    <row r="258" spans="5:32" ht="12.75">
      <c r="E258" s="148"/>
      <c r="F258" s="148"/>
      <c r="G258" s="148"/>
      <c r="H258" s="148"/>
      <c r="AE258" s="4"/>
      <c r="AF258" s="4"/>
    </row>
    <row r="259" spans="5:32" ht="12.75">
      <c r="E259" s="148"/>
      <c r="F259" s="148"/>
      <c r="G259" s="148"/>
      <c r="H259" s="148"/>
      <c r="AE259" s="4"/>
      <c r="AF259" s="4"/>
    </row>
    <row r="260" spans="5:32" ht="12.75">
      <c r="E260" s="148"/>
      <c r="F260" s="148"/>
      <c r="G260" s="148"/>
      <c r="H260" s="148"/>
      <c r="AE260" s="4"/>
      <c r="AF260" s="4"/>
    </row>
    <row r="261" spans="5:32" ht="12.75">
      <c r="E261" s="148"/>
      <c r="F261" s="148"/>
      <c r="G261" s="148"/>
      <c r="H261" s="148"/>
      <c r="AE261" s="4"/>
      <c r="AF261" s="4"/>
    </row>
    <row r="262" spans="5:32" ht="12.75">
      <c r="E262" s="148"/>
      <c r="F262" s="148"/>
      <c r="G262" s="148"/>
      <c r="H262" s="148"/>
      <c r="AE262" s="4"/>
      <c r="AF262" s="4"/>
    </row>
    <row r="263" spans="5:32" ht="12.75">
      <c r="E263" s="148"/>
      <c r="F263" s="148"/>
      <c r="G263" s="148"/>
      <c r="H263" s="148"/>
      <c r="AE263" s="4"/>
      <c r="AF263" s="4"/>
    </row>
    <row r="264" spans="5:32" ht="12.75">
      <c r="E264" s="148"/>
      <c r="F264" s="148"/>
      <c r="G264" s="148"/>
      <c r="H264" s="148"/>
      <c r="AE264" s="4"/>
      <c r="AF264" s="4"/>
    </row>
    <row r="265" spans="5:32" ht="12.75">
      <c r="E265" s="148"/>
      <c r="F265" s="148"/>
      <c r="G265" s="148"/>
      <c r="H265" s="148"/>
      <c r="AE265" s="4"/>
      <c r="AF265" s="4"/>
    </row>
    <row r="266" spans="5:32" ht="12.75">
      <c r="E266" s="148"/>
      <c r="F266" s="148"/>
      <c r="G266" s="148"/>
      <c r="H266" s="148"/>
      <c r="AE266" s="4"/>
      <c r="AF266" s="4"/>
    </row>
    <row r="267" spans="5:32" ht="12.75">
      <c r="E267" s="148"/>
      <c r="F267" s="148"/>
      <c r="G267" s="148"/>
      <c r="H267" s="148"/>
      <c r="AE267" s="4"/>
      <c r="AF267" s="4"/>
    </row>
    <row r="268" spans="5:32" ht="12.75">
      <c r="E268" s="148"/>
      <c r="F268" s="148"/>
      <c r="G268" s="148"/>
      <c r="H268" s="148"/>
      <c r="AE268" s="4"/>
      <c r="AF268" s="4"/>
    </row>
    <row r="269" spans="5:32" ht="12.75">
      <c r="E269" s="148"/>
      <c r="F269" s="148"/>
      <c r="G269" s="148"/>
      <c r="H269" s="148"/>
      <c r="AE269" s="4"/>
      <c r="AF269" s="4"/>
    </row>
    <row r="270" spans="5:32" ht="12.75">
      <c r="E270" s="148"/>
      <c r="F270" s="148"/>
      <c r="G270" s="148"/>
      <c r="H270" s="148"/>
      <c r="AE270" s="4"/>
      <c r="AF270" s="4"/>
    </row>
    <row r="271" spans="5:32" ht="12.75">
      <c r="E271" s="148"/>
      <c r="F271" s="148"/>
      <c r="G271" s="148"/>
      <c r="H271" s="148"/>
      <c r="AE271" s="4"/>
      <c r="AF271" s="4"/>
    </row>
    <row r="272" spans="5:32" ht="12.75">
      <c r="E272" s="148"/>
      <c r="F272" s="148"/>
      <c r="G272" s="148"/>
      <c r="H272" s="148"/>
      <c r="AE272" s="4"/>
      <c r="AF272" s="4"/>
    </row>
    <row r="273" spans="5:32" ht="12.75">
      <c r="E273" s="148"/>
      <c r="F273" s="148"/>
      <c r="G273" s="148"/>
      <c r="H273" s="148"/>
      <c r="AE273" s="4"/>
      <c r="AF273" s="4"/>
    </row>
    <row r="274" spans="5:32" ht="12.75">
      <c r="E274" s="148"/>
      <c r="F274" s="148"/>
      <c r="G274" s="148"/>
      <c r="H274" s="148"/>
      <c r="AE274" s="4"/>
      <c r="AF274" s="4"/>
    </row>
    <row r="275" spans="5:32" ht="12.75">
      <c r="E275" s="148"/>
      <c r="F275" s="148"/>
      <c r="G275" s="148"/>
      <c r="H275" s="148"/>
      <c r="AE275" s="4"/>
      <c r="AF275" s="4"/>
    </row>
    <row r="276" spans="5:32" ht="12.75">
      <c r="E276" s="148"/>
      <c r="F276" s="148"/>
      <c r="G276" s="148"/>
      <c r="H276" s="148"/>
      <c r="AE276" s="4"/>
      <c r="AF276" s="4"/>
    </row>
    <row r="277" spans="5:32" ht="12.75">
      <c r="E277" s="148"/>
      <c r="F277" s="148"/>
      <c r="G277" s="148"/>
      <c r="H277" s="148"/>
      <c r="AE277" s="4"/>
      <c r="AF277" s="4"/>
    </row>
    <row r="278" spans="5:32" ht="12.75">
      <c r="E278" s="148"/>
      <c r="F278" s="148"/>
      <c r="G278" s="148"/>
      <c r="H278" s="148"/>
      <c r="AE278" s="4"/>
      <c r="AF278" s="4"/>
    </row>
    <row r="279" spans="5:32" ht="12.75">
      <c r="E279" s="148"/>
      <c r="F279" s="148"/>
      <c r="G279" s="148"/>
      <c r="H279" s="148"/>
      <c r="AE279" s="4"/>
      <c r="AF279" s="4"/>
    </row>
    <row r="280" spans="5:32" ht="12.75">
      <c r="E280" s="148"/>
      <c r="F280" s="148"/>
      <c r="G280" s="148"/>
      <c r="H280" s="148"/>
      <c r="AE280" s="4"/>
      <c r="AF280" s="4"/>
    </row>
    <row r="281" spans="5:32" ht="12.75">
      <c r="E281" s="148"/>
      <c r="F281" s="148"/>
      <c r="G281" s="148"/>
      <c r="H281" s="148"/>
      <c r="AE281" s="4"/>
      <c r="AF281" s="4"/>
    </row>
    <row r="282" spans="5:32" ht="12.75">
      <c r="E282" s="148"/>
      <c r="F282" s="148"/>
      <c r="G282" s="148"/>
      <c r="H282" s="148"/>
      <c r="AE282" s="4"/>
      <c r="AF282" s="4"/>
    </row>
    <row r="283" spans="5:32" ht="12.75">
      <c r="E283" s="148"/>
      <c r="F283" s="148"/>
      <c r="G283" s="148"/>
      <c r="H283" s="148"/>
      <c r="AE283" s="4"/>
      <c r="AF283" s="4"/>
    </row>
    <row r="284" spans="5:32" ht="12.75">
      <c r="E284" s="148"/>
      <c r="F284" s="148"/>
      <c r="G284" s="148"/>
      <c r="H284" s="148"/>
      <c r="AE284" s="4"/>
      <c r="AF284" s="4"/>
    </row>
    <row r="285" spans="5:32" ht="12.75">
      <c r="E285" s="148"/>
      <c r="F285" s="148"/>
      <c r="G285" s="148"/>
      <c r="H285" s="148"/>
      <c r="AE285" s="4"/>
      <c r="AF285" s="4"/>
    </row>
    <row r="286" spans="5:32" ht="12.75">
      <c r="E286" s="148"/>
      <c r="F286" s="148"/>
      <c r="G286" s="148"/>
      <c r="H286" s="148"/>
      <c r="AE286" s="4"/>
      <c r="AF286" s="4"/>
    </row>
    <row r="287" spans="5:32" ht="12.75">
      <c r="E287" s="148"/>
      <c r="F287" s="148"/>
      <c r="G287" s="148"/>
      <c r="H287" s="148"/>
      <c r="AE287" s="4"/>
      <c r="AF287" s="4"/>
    </row>
    <row r="288" spans="5:32" ht="12.75">
      <c r="E288" s="148"/>
      <c r="F288" s="148"/>
      <c r="G288" s="148"/>
      <c r="H288" s="148"/>
      <c r="AE288" s="4"/>
      <c r="AF288" s="4"/>
    </row>
    <row r="289" spans="5:32" ht="12.75">
      <c r="E289" s="148"/>
      <c r="F289" s="148"/>
      <c r="G289" s="148"/>
      <c r="H289" s="148"/>
      <c r="AE289" s="4"/>
      <c r="AF289" s="4"/>
    </row>
    <row r="290" spans="5:32" ht="12.75">
      <c r="E290" s="148"/>
      <c r="F290" s="148"/>
      <c r="G290" s="148"/>
      <c r="H290" s="148"/>
      <c r="AE290" s="4"/>
      <c r="AF290" s="4"/>
    </row>
    <row r="291" spans="5:32" ht="12.75">
      <c r="E291" s="148"/>
      <c r="F291" s="148"/>
      <c r="G291" s="148"/>
      <c r="H291" s="148"/>
      <c r="AE291" s="4"/>
      <c r="AF291" s="4"/>
    </row>
    <row r="292" spans="5:32" ht="12.75">
      <c r="E292" s="148"/>
      <c r="F292" s="148"/>
      <c r="G292" s="148"/>
      <c r="H292" s="148"/>
      <c r="AE292" s="4"/>
      <c r="AF292" s="4"/>
    </row>
    <row r="293" spans="5:32" ht="12.75">
      <c r="E293" s="148"/>
      <c r="F293" s="148"/>
      <c r="G293" s="148"/>
      <c r="H293" s="148"/>
      <c r="AE293" s="4"/>
      <c r="AF293" s="4"/>
    </row>
    <row r="294" spans="5:32" ht="12.75">
      <c r="E294" s="148"/>
      <c r="F294" s="148"/>
      <c r="G294" s="148"/>
      <c r="H294" s="148"/>
      <c r="AE294" s="4"/>
      <c r="AF294" s="4"/>
    </row>
    <row r="295" spans="5:32" ht="12.75">
      <c r="E295" s="148"/>
      <c r="F295" s="148"/>
      <c r="G295" s="148"/>
      <c r="H295" s="148"/>
      <c r="AE295" s="4"/>
      <c r="AF295" s="4"/>
    </row>
    <row r="296" spans="5:32" ht="12.75">
      <c r="E296" s="148"/>
      <c r="F296" s="148"/>
      <c r="G296" s="148"/>
      <c r="H296" s="148"/>
      <c r="AE296" s="4"/>
      <c r="AF296" s="4"/>
    </row>
    <row r="297" spans="5:32" ht="12.75">
      <c r="E297" s="148"/>
      <c r="F297" s="148"/>
      <c r="G297" s="148"/>
      <c r="H297" s="148"/>
      <c r="AE297" s="4"/>
      <c r="AF297" s="4"/>
    </row>
    <row r="298" spans="5:32" ht="12.75">
      <c r="E298" s="148"/>
      <c r="F298" s="148"/>
      <c r="G298" s="148"/>
      <c r="H298" s="148"/>
      <c r="AE298" s="4"/>
      <c r="AF298" s="4"/>
    </row>
    <row r="299" spans="5:32" ht="12.75">
      <c r="E299" s="148"/>
      <c r="F299" s="148"/>
      <c r="G299" s="148"/>
      <c r="H299" s="148"/>
      <c r="AE299" s="4"/>
      <c r="AF299" s="4"/>
    </row>
    <row r="300" spans="5:32" ht="12.75">
      <c r="E300" s="148"/>
      <c r="F300" s="148"/>
      <c r="G300" s="148"/>
      <c r="H300" s="148"/>
      <c r="AE300" s="4"/>
      <c r="AF300" s="4"/>
    </row>
    <row r="301" spans="5:32" ht="12.75">
      <c r="E301" s="148"/>
      <c r="F301" s="148"/>
      <c r="G301" s="148"/>
      <c r="H301" s="148"/>
      <c r="AE301" s="4"/>
      <c r="AF301" s="4"/>
    </row>
    <row r="302" spans="5:32" ht="12.75">
      <c r="E302" s="148"/>
      <c r="F302" s="148"/>
      <c r="G302" s="148"/>
      <c r="H302" s="148"/>
      <c r="AE302" s="4"/>
      <c r="AF302" s="4"/>
    </row>
    <row r="303" spans="5:32" ht="12.75">
      <c r="E303" s="148"/>
      <c r="F303" s="148"/>
      <c r="G303" s="148"/>
      <c r="H303" s="148"/>
      <c r="AE303" s="4"/>
      <c r="AF303" s="4"/>
    </row>
    <row r="304" spans="5:32" ht="12.75">
      <c r="E304" s="148"/>
      <c r="F304" s="148"/>
      <c r="G304" s="148"/>
      <c r="H304" s="148"/>
      <c r="AE304" s="4"/>
      <c r="AF304" s="4"/>
    </row>
    <row r="305" spans="5:32" ht="12.75">
      <c r="E305" s="148"/>
      <c r="F305" s="148"/>
      <c r="G305" s="148"/>
      <c r="H305" s="148"/>
      <c r="AE305" s="4"/>
      <c r="AF305" s="4"/>
    </row>
    <row r="306" spans="5:32" ht="12.75">
      <c r="E306" s="148"/>
      <c r="F306" s="148"/>
      <c r="G306" s="148"/>
      <c r="H306" s="148"/>
      <c r="AE306" s="4"/>
      <c r="AF306" s="4"/>
    </row>
    <row r="307" spans="5:32" ht="12.75">
      <c r="E307" s="148"/>
      <c r="F307" s="148"/>
      <c r="G307" s="148"/>
      <c r="H307" s="148"/>
      <c r="AE307" s="4"/>
      <c r="AF307" s="4"/>
    </row>
    <row r="308" spans="5:32" ht="12.75">
      <c r="E308" s="148"/>
      <c r="F308" s="148"/>
      <c r="G308" s="148"/>
      <c r="H308" s="148"/>
      <c r="AE308" s="4"/>
      <c r="AF308" s="4"/>
    </row>
    <row r="309" spans="5:32" ht="12.75">
      <c r="E309" s="148"/>
      <c r="F309" s="148"/>
      <c r="G309" s="148"/>
      <c r="H309" s="148"/>
      <c r="AE309" s="4"/>
      <c r="AF309" s="4"/>
    </row>
    <row r="310" spans="5:32" ht="12.75">
      <c r="E310" s="148"/>
      <c r="F310" s="148"/>
      <c r="G310" s="148"/>
      <c r="H310" s="148"/>
      <c r="AE310" s="4"/>
      <c r="AF310" s="4"/>
    </row>
    <row r="311" spans="5:32" ht="12.75">
      <c r="E311" s="148"/>
      <c r="F311" s="148"/>
      <c r="G311" s="148"/>
      <c r="H311" s="148"/>
      <c r="AE311" s="4"/>
      <c r="AF311" s="4"/>
    </row>
    <row r="312" spans="5:32" ht="12.75">
      <c r="E312" s="148"/>
      <c r="F312" s="148"/>
      <c r="G312" s="148"/>
      <c r="H312" s="148"/>
      <c r="AE312" s="4"/>
      <c r="AF312" s="4"/>
    </row>
    <row r="313" spans="5:32" ht="12.75">
      <c r="E313" s="148"/>
      <c r="F313" s="148"/>
      <c r="G313" s="148"/>
      <c r="H313" s="148"/>
      <c r="AE313" s="4"/>
      <c r="AF313" s="4"/>
    </row>
    <row r="314" spans="5:32" ht="12.75">
      <c r="E314" s="148"/>
      <c r="F314" s="148"/>
      <c r="G314" s="148"/>
      <c r="H314" s="148"/>
      <c r="AE314" s="4"/>
      <c r="AF314" s="4"/>
    </row>
    <row r="315" spans="5:32" ht="12.75">
      <c r="E315" s="148"/>
      <c r="F315" s="148"/>
      <c r="G315" s="148"/>
      <c r="H315" s="148"/>
      <c r="AE315" s="4"/>
      <c r="AF315" s="4"/>
    </row>
    <row r="316" spans="5:32" ht="12.75">
      <c r="E316" s="148"/>
      <c r="F316" s="148"/>
      <c r="G316" s="148"/>
      <c r="H316" s="148"/>
      <c r="AE316" s="4"/>
      <c r="AF316" s="4"/>
    </row>
    <row r="317" spans="5:32" ht="12.75">
      <c r="E317" s="148"/>
      <c r="F317" s="148"/>
      <c r="G317" s="148"/>
      <c r="H317" s="148"/>
      <c r="AE317" s="4"/>
      <c r="AF317" s="4"/>
    </row>
    <row r="318" spans="5:32" ht="12.75">
      <c r="E318" s="148"/>
      <c r="F318" s="148"/>
      <c r="G318" s="148"/>
      <c r="H318" s="148"/>
      <c r="AE318" s="4"/>
      <c r="AF318" s="4"/>
    </row>
    <row r="319" spans="5:32" ht="12.75">
      <c r="E319" s="148"/>
      <c r="F319" s="148"/>
      <c r="G319" s="148"/>
      <c r="H319" s="148"/>
      <c r="AE319" s="4"/>
      <c r="AF319" s="4"/>
    </row>
    <row r="320" spans="5:32" ht="12.75">
      <c r="E320" s="148"/>
      <c r="F320" s="148"/>
      <c r="G320" s="148"/>
      <c r="H320" s="148"/>
      <c r="AE320" s="4"/>
      <c r="AF320" s="4"/>
    </row>
    <row r="321" spans="5:32" ht="12.75">
      <c r="E321" s="148"/>
      <c r="F321" s="148"/>
      <c r="G321" s="148"/>
      <c r="H321" s="148"/>
      <c r="AE321" s="4"/>
      <c r="AF321" s="4"/>
    </row>
    <row r="322" spans="5:32" ht="12.75">
      <c r="E322" s="148"/>
      <c r="F322" s="148"/>
      <c r="G322" s="148"/>
      <c r="H322" s="148"/>
      <c r="AE322" s="4"/>
      <c r="AF322" s="4"/>
    </row>
    <row r="323" spans="5:32" ht="12.75">
      <c r="E323" s="148"/>
      <c r="F323" s="148"/>
      <c r="G323" s="148"/>
      <c r="H323" s="148"/>
      <c r="AE323" s="4"/>
      <c r="AF323" s="4"/>
    </row>
    <row r="324" spans="5:32" ht="12.75">
      <c r="E324" s="148"/>
      <c r="F324" s="148"/>
      <c r="G324" s="148"/>
      <c r="H324" s="148"/>
      <c r="AE324" s="4"/>
      <c r="AF324" s="4"/>
    </row>
    <row r="325" spans="5:32" ht="12.75">
      <c r="E325" s="148"/>
      <c r="F325" s="148"/>
      <c r="G325" s="148"/>
      <c r="H325" s="148"/>
      <c r="AE325" s="4"/>
      <c r="AF325" s="4"/>
    </row>
    <row r="326" spans="5:32" ht="12.75">
      <c r="E326" s="148"/>
      <c r="F326" s="148"/>
      <c r="G326" s="148"/>
      <c r="H326" s="148"/>
      <c r="AE326" s="4"/>
      <c r="AF326" s="4"/>
    </row>
    <row r="327" spans="5:32" ht="12.75">
      <c r="E327" s="148"/>
      <c r="F327" s="148"/>
      <c r="G327" s="148"/>
      <c r="H327" s="148"/>
      <c r="AE327" s="4"/>
      <c r="AF327" s="4"/>
    </row>
    <row r="328" spans="5:32" ht="12.75">
      <c r="E328" s="148"/>
      <c r="F328" s="148"/>
      <c r="G328" s="148"/>
      <c r="H328" s="148"/>
      <c r="AE328" s="4"/>
      <c r="AF328" s="4"/>
    </row>
    <row r="329" spans="5:32" ht="12.75">
      <c r="E329" s="148"/>
      <c r="F329" s="148"/>
      <c r="G329" s="148"/>
      <c r="H329" s="148"/>
      <c r="AE329" s="4"/>
      <c r="AF329" s="4"/>
    </row>
    <row r="330" spans="5:32" ht="12.75">
      <c r="E330" s="148"/>
      <c r="F330" s="148"/>
      <c r="G330" s="148"/>
      <c r="H330" s="148"/>
      <c r="AE330" s="4"/>
      <c r="AF330" s="4"/>
    </row>
    <row r="331" spans="5:32" ht="12.75">
      <c r="E331" s="148"/>
      <c r="F331" s="148"/>
      <c r="G331" s="148"/>
      <c r="H331" s="148"/>
      <c r="AE331" s="4"/>
      <c r="AF331" s="4"/>
    </row>
    <row r="332" spans="5:32" ht="12.75">
      <c r="E332" s="148"/>
      <c r="F332" s="148"/>
      <c r="G332" s="148"/>
      <c r="H332" s="148"/>
      <c r="AE332" s="4"/>
      <c r="AF332" s="4"/>
    </row>
    <row r="333" spans="5:32" ht="12.75">
      <c r="E333" s="148"/>
      <c r="F333" s="148"/>
      <c r="G333" s="148"/>
      <c r="H333" s="148"/>
      <c r="AE333" s="4"/>
      <c r="AF333" s="4"/>
    </row>
    <row r="334" spans="5:32" ht="12.75">
      <c r="E334" s="148"/>
      <c r="F334" s="148"/>
      <c r="G334" s="148"/>
      <c r="H334" s="148"/>
      <c r="AE334" s="4"/>
      <c r="AF334" s="4"/>
    </row>
    <row r="335" spans="5:32" ht="12.75">
      <c r="E335" s="148"/>
      <c r="F335" s="148"/>
      <c r="G335" s="148"/>
      <c r="H335" s="148"/>
      <c r="AE335" s="4"/>
      <c r="AF335" s="4"/>
    </row>
    <row r="336" spans="5:32" ht="12.75">
      <c r="E336" s="148"/>
      <c r="F336" s="148"/>
      <c r="G336" s="148"/>
      <c r="H336" s="148"/>
      <c r="AE336" s="4"/>
      <c r="AF336" s="4"/>
    </row>
    <row r="337" spans="5:32" ht="12.75">
      <c r="E337" s="148"/>
      <c r="F337" s="148"/>
      <c r="G337" s="148"/>
      <c r="H337" s="148"/>
      <c r="AE337" s="4"/>
      <c r="AF337" s="4"/>
    </row>
    <row r="338" spans="5:32" ht="12.75">
      <c r="E338" s="148"/>
      <c r="F338" s="148"/>
      <c r="G338" s="148"/>
      <c r="H338" s="148"/>
      <c r="AE338" s="4"/>
      <c r="AF338" s="4"/>
    </row>
    <row r="339" spans="5:32" ht="12.75">
      <c r="E339" s="148"/>
      <c r="F339" s="148"/>
      <c r="G339" s="148"/>
      <c r="H339" s="148"/>
      <c r="AE339" s="4"/>
      <c r="AF339" s="4"/>
    </row>
    <row r="340" spans="5:32" ht="12.75">
      <c r="E340" s="148"/>
      <c r="F340" s="148"/>
      <c r="G340" s="148"/>
      <c r="H340" s="148"/>
      <c r="AE340" s="4"/>
      <c r="AF340" s="4"/>
    </row>
    <row r="341" spans="5:32" ht="12.75">
      <c r="E341" s="148"/>
      <c r="F341" s="148"/>
      <c r="G341" s="148"/>
      <c r="H341" s="148"/>
      <c r="AE341" s="4"/>
      <c r="AF341" s="4"/>
    </row>
    <row r="342" spans="5:32" ht="12.75">
      <c r="E342" s="148"/>
      <c r="F342" s="148"/>
      <c r="G342" s="148"/>
      <c r="H342" s="148"/>
      <c r="AE342" s="4"/>
      <c r="AF342" s="4"/>
    </row>
    <row r="343" spans="5:32" ht="12.75">
      <c r="E343" s="148"/>
      <c r="F343" s="148"/>
      <c r="G343" s="148"/>
      <c r="H343" s="148"/>
      <c r="AE343" s="4"/>
      <c r="AF343" s="4"/>
    </row>
    <row r="344" spans="5:32" ht="12.75">
      <c r="E344" s="148"/>
      <c r="F344" s="148"/>
      <c r="G344" s="148"/>
      <c r="H344" s="148"/>
      <c r="AE344" s="4"/>
      <c r="AF344" s="4"/>
    </row>
    <row r="345" spans="5:32" ht="12.75">
      <c r="E345" s="148"/>
      <c r="F345" s="148"/>
      <c r="G345" s="148"/>
      <c r="H345" s="148"/>
      <c r="AE345" s="4"/>
      <c r="AF345" s="4"/>
    </row>
    <row r="346" spans="5:32" ht="12.75">
      <c r="E346" s="148"/>
      <c r="F346" s="148"/>
      <c r="G346" s="148"/>
      <c r="H346" s="148"/>
      <c r="AE346" s="4"/>
      <c r="AF346" s="4"/>
    </row>
    <row r="347" spans="5:32" ht="12.75">
      <c r="E347" s="148"/>
      <c r="F347" s="148"/>
      <c r="G347" s="148"/>
      <c r="H347" s="148"/>
      <c r="AE347" s="4"/>
      <c r="AF347" s="4"/>
    </row>
    <row r="348" spans="5:32" ht="12.75">
      <c r="E348" s="148"/>
      <c r="F348" s="148"/>
      <c r="G348" s="148"/>
      <c r="H348" s="148"/>
      <c r="AE348" s="4"/>
      <c r="AF348" s="4"/>
    </row>
    <row r="349" spans="5:32" ht="12.75">
      <c r="E349" s="148"/>
      <c r="F349" s="148"/>
      <c r="G349" s="148"/>
      <c r="H349" s="148"/>
      <c r="AE349" s="4"/>
      <c r="AF349" s="4"/>
    </row>
    <row r="350" spans="5:32" ht="12.75">
      <c r="E350" s="148"/>
      <c r="F350" s="148"/>
      <c r="G350" s="148"/>
      <c r="H350" s="148"/>
      <c r="AE350" s="4"/>
      <c r="AF350" s="4"/>
    </row>
    <row r="351" spans="5:32" ht="12.75">
      <c r="E351" s="148"/>
      <c r="F351" s="148"/>
      <c r="G351" s="148"/>
      <c r="H351" s="148"/>
      <c r="AE351" s="4"/>
      <c r="AF351" s="4"/>
    </row>
    <row r="352" spans="5:32" ht="12.75">
      <c r="E352" s="148"/>
      <c r="F352" s="148"/>
      <c r="G352" s="148"/>
      <c r="H352" s="148"/>
      <c r="AE352" s="4"/>
      <c r="AF352" s="4"/>
    </row>
    <row r="353" spans="5:32" ht="12.75">
      <c r="E353" s="148"/>
      <c r="F353" s="148"/>
      <c r="G353" s="148"/>
      <c r="H353" s="148"/>
      <c r="AE353" s="4"/>
      <c r="AF353" s="4"/>
    </row>
    <row r="354" spans="5:32" ht="12.75">
      <c r="E354" s="148"/>
      <c r="F354" s="148"/>
      <c r="G354" s="148"/>
      <c r="H354" s="148"/>
      <c r="AE354" s="4"/>
      <c r="AF354" s="4"/>
    </row>
    <row r="355" spans="5:32" ht="12.75">
      <c r="E355" s="148"/>
      <c r="F355" s="148"/>
      <c r="G355" s="148"/>
      <c r="H355" s="148"/>
      <c r="AE355" s="4"/>
      <c r="AF355" s="4"/>
    </row>
    <row r="356" spans="5:32" ht="12.75">
      <c r="E356" s="148"/>
      <c r="F356" s="148"/>
      <c r="G356" s="148"/>
      <c r="H356" s="148"/>
      <c r="AE356" s="4"/>
      <c r="AF356" s="4"/>
    </row>
    <row r="357" spans="5:32" ht="12.75">
      <c r="E357" s="148"/>
      <c r="F357" s="148"/>
      <c r="G357" s="148"/>
      <c r="H357" s="148"/>
      <c r="AE357" s="4"/>
      <c r="AF357" s="4"/>
    </row>
    <row r="358" spans="5:32" ht="12.75">
      <c r="E358" s="148"/>
      <c r="F358" s="148"/>
      <c r="G358" s="148"/>
      <c r="H358" s="148"/>
      <c r="AE358" s="4"/>
      <c r="AF358" s="4"/>
    </row>
    <row r="359" spans="5:32" ht="12.75">
      <c r="E359" s="148"/>
      <c r="F359" s="148"/>
      <c r="G359" s="148"/>
      <c r="H359" s="148"/>
      <c r="AE359" s="4"/>
      <c r="AF359" s="4"/>
    </row>
    <row r="360" spans="5:32" ht="12.75">
      <c r="E360" s="148"/>
      <c r="F360" s="148"/>
      <c r="G360" s="148"/>
      <c r="H360" s="148"/>
      <c r="AE360" s="4"/>
      <c r="AF360" s="4"/>
    </row>
    <row r="361" spans="5:32" ht="12.75">
      <c r="E361" s="148"/>
      <c r="F361" s="148"/>
      <c r="G361" s="148"/>
      <c r="H361" s="148"/>
      <c r="AE361" s="4"/>
      <c r="AF361" s="4"/>
    </row>
    <row r="362" spans="5:32" ht="12.75">
      <c r="E362" s="148"/>
      <c r="F362" s="148"/>
      <c r="G362" s="148"/>
      <c r="H362" s="148"/>
      <c r="AE362" s="4"/>
      <c r="AF362" s="4"/>
    </row>
    <row r="363" spans="5:32" ht="12.75">
      <c r="E363" s="148"/>
      <c r="F363" s="148"/>
      <c r="G363" s="148"/>
      <c r="H363" s="148"/>
      <c r="AE363" s="4"/>
      <c r="AF363" s="4"/>
    </row>
    <row r="364" spans="5:32" ht="12.75">
      <c r="E364" s="148"/>
      <c r="F364" s="148"/>
      <c r="G364" s="148"/>
      <c r="H364" s="148"/>
      <c r="AE364" s="4"/>
      <c r="AF364" s="4"/>
    </row>
    <row r="365" spans="5:32" ht="12.75">
      <c r="E365" s="148"/>
      <c r="F365" s="148"/>
      <c r="G365" s="148"/>
      <c r="H365" s="148"/>
      <c r="AE365" s="4"/>
      <c r="AF365" s="4"/>
    </row>
    <row r="366" spans="5:32" ht="12.75">
      <c r="E366" s="148"/>
      <c r="F366" s="148"/>
      <c r="G366" s="148"/>
      <c r="H366" s="148"/>
      <c r="AE366" s="4"/>
      <c r="AF366" s="4"/>
    </row>
    <row r="367" spans="5:32" ht="12.75">
      <c r="E367" s="148"/>
      <c r="F367" s="148"/>
      <c r="G367" s="148"/>
      <c r="H367" s="148"/>
      <c r="AE367" s="4"/>
      <c r="AF367" s="4"/>
    </row>
    <row r="368" spans="5:32" ht="12.75">
      <c r="E368" s="148"/>
      <c r="F368" s="148"/>
      <c r="G368" s="148"/>
      <c r="H368" s="148"/>
      <c r="AE368" s="4"/>
      <c r="AF368" s="4"/>
    </row>
    <row r="369" spans="5:32" ht="12.75">
      <c r="E369" s="148"/>
      <c r="F369" s="148"/>
      <c r="G369" s="148"/>
      <c r="H369" s="148"/>
      <c r="AE369" s="4"/>
      <c r="AF369" s="4"/>
    </row>
    <row r="370" spans="5:32" ht="12.75">
      <c r="E370" s="148"/>
      <c r="F370" s="148"/>
      <c r="G370" s="148"/>
      <c r="H370" s="148"/>
      <c r="AE370" s="4"/>
      <c r="AF370" s="4"/>
    </row>
    <row r="371" spans="5:32" ht="12.75">
      <c r="E371" s="148"/>
      <c r="F371" s="148"/>
      <c r="G371" s="148"/>
      <c r="H371" s="148"/>
      <c r="AE371" s="4"/>
      <c r="AF371" s="4"/>
    </row>
    <row r="372" spans="5:32" ht="12.75">
      <c r="E372" s="148"/>
      <c r="F372" s="148"/>
      <c r="G372" s="148"/>
      <c r="H372" s="148"/>
      <c r="AE372" s="4"/>
      <c r="AF372" s="4"/>
    </row>
    <row r="373" spans="5:32" ht="12.75">
      <c r="E373" s="148"/>
      <c r="F373" s="148"/>
      <c r="G373" s="148"/>
      <c r="H373" s="148"/>
      <c r="AE373" s="4"/>
      <c r="AF373" s="4"/>
    </row>
    <row r="374" spans="5:32" ht="12.75">
      <c r="E374" s="148"/>
      <c r="F374" s="148"/>
      <c r="G374" s="148"/>
      <c r="H374" s="148"/>
      <c r="AE374" s="4"/>
      <c r="AF374" s="4"/>
    </row>
    <row r="375" spans="5:32" ht="12.75">
      <c r="E375" s="148"/>
      <c r="F375" s="148"/>
      <c r="G375" s="148"/>
      <c r="H375" s="148"/>
      <c r="AE375" s="4"/>
      <c r="AF375" s="4"/>
    </row>
    <row r="376" spans="5:32" ht="12.75">
      <c r="E376" s="148"/>
      <c r="F376" s="148"/>
      <c r="G376" s="148"/>
      <c r="H376" s="148"/>
      <c r="AE376" s="4"/>
      <c r="AF376" s="4"/>
    </row>
    <row r="377" spans="5:32" ht="12.75">
      <c r="E377" s="148"/>
      <c r="F377" s="148"/>
      <c r="G377" s="148"/>
      <c r="H377" s="148"/>
      <c r="AE377" s="4"/>
      <c r="AF377" s="4"/>
    </row>
    <row r="378" spans="5:32" ht="12.75">
      <c r="E378" s="148"/>
      <c r="F378" s="148"/>
      <c r="G378" s="148"/>
      <c r="H378" s="148"/>
      <c r="AE378" s="4"/>
      <c r="AF378" s="4"/>
    </row>
    <row r="379" spans="5:32" ht="12.75">
      <c r="E379" s="148"/>
      <c r="F379" s="148"/>
      <c r="G379" s="148"/>
      <c r="H379" s="148"/>
      <c r="AE379" s="4"/>
      <c r="AF379" s="4"/>
    </row>
    <row r="380" spans="5:32" ht="12.75">
      <c r="E380" s="148"/>
      <c r="F380" s="148"/>
      <c r="G380" s="148"/>
      <c r="H380" s="148"/>
      <c r="AE380" s="4"/>
      <c r="AF380" s="4"/>
    </row>
    <row r="381" spans="5:32" ht="12.75">
      <c r="E381" s="148"/>
      <c r="F381" s="148"/>
      <c r="G381" s="148"/>
      <c r="H381" s="148"/>
      <c r="AE381" s="4"/>
      <c r="AF381" s="4"/>
    </row>
    <row r="382" spans="5:32" ht="12.75">
      <c r="E382" s="148"/>
      <c r="F382" s="148"/>
      <c r="G382" s="148"/>
      <c r="H382" s="148"/>
      <c r="AE382" s="4"/>
      <c r="AF382" s="4"/>
    </row>
    <row r="383" spans="5:32" ht="12.75">
      <c r="E383" s="148"/>
      <c r="F383" s="148"/>
      <c r="G383" s="148"/>
      <c r="H383" s="148"/>
      <c r="AE383" s="4"/>
      <c r="AF383" s="4"/>
    </row>
    <row r="384" spans="5:32" ht="12.75">
      <c r="E384" s="148"/>
      <c r="F384" s="148"/>
      <c r="G384" s="148"/>
      <c r="H384" s="148"/>
      <c r="AE384" s="4"/>
      <c r="AF384" s="4"/>
    </row>
    <row r="385" spans="5:32" ht="12.75">
      <c r="E385" s="148"/>
      <c r="F385" s="148"/>
      <c r="G385" s="148"/>
      <c r="H385" s="148"/>
      <c r="AE385" s="4"/>
      <c r="AF385" s="4"/>
    </row>
    <row r="386" spans="5:32" ht="12.75">
      <c r="E386" s="148"/>
      <c r="F386" s="148"/>
      <c r="G386" s="148"/>
      <c r="H386" s="148"/>
      <c r="AE386" s="4"/>
      <c r="AF386" s="4"/>
    </row>
    <row r="387" spans="5:32" ht="12.75">
      <c r="E387" s="148"/>
      <c r="F387" s="148"/>
      <c r="G387" s="148"/>
      <c r="H387" s="148"/>
      <c r="AE387" s="4"/>
      <c r="AF387" s="4"/>
    </row>
    <row r="388" spans="5:32" ht="12.75">
      <c r="E388" s="148"/>
      <c r="F388" s="148"/>
      <c r="G388" s="148"/>
      <c r="H388" s="148"/>
      <c r="AE388" s="4"/>
      <c r="AF388" s="4"/>
    </row>
    <row r="389" spans="5:32" ht="12.75">
      <c r="E389" s="148"/>
      <c r="F389" s="148"/>
      <c r="G389" s="148"/>
      <c r="H389" s="148"/>
      <c r="AE389" s="4"/>
      <c r="AF389" s="4"/>
    </row>
    <row r="390" spans="5:32" ht="12.75">
      <c r="E390" s="148"/>
      <c r="F390" s="148"/>
      <c r="G390" s="148"/>
      <c r="H390" s="148"/>
      <c r="AE390" s="4"/>
      <c r="AF390" s="4"/>
    </row>
    <row r="391" spans="5:32" ht="12.75">
      <c r="E391" s="148"/>
      <c r="F391" s="148"/>
      <c r="G391" s="148"/>
      <c r="H391" s="148"/>
      <c r="AE391" s="4"/>
      <c r="AF391" s="4"/>
    </row>
    <row r="392" spans="5:32" ht="12.75">
      <c r="E392" s="148"/>
      <c r="F392" s="148"/>
      <c r="G392" s="148"/>
      <c r="H392" s="148"/>
      <c r="AE392" s="4"/>
      <c r="AF392" s="4"/>
    </row>
    <row r="393" spans="5:32" ht="12.75">
      <c r="E393" s="148"/>
      <c r="F393" s="148"/>
      <c r="G393" s="148"/>
      <c r="H393" s="148"/>
      <c r="AE393" s="4"/>
      <c r="AF393" s="4"/>
    </row>
    <row r="394" spans="5:32" ht="12.75">
      <c r="E394" s="148"/>
      <c r="F394" s="148"/>
      <c r="G394" s="148"/>
      <c r="H394" s="148"/>
      <c r="AE394" s="4"/>
      <c r="AF394" s="4"/>
    </row>
    <row r="395" spans="5:32" ht="12.75">
      <c r="E395" s="148"/>
      <c r="F395" s="148"/>
      <c r="G395" s="148"/>
      <c r="H395" s="148"/>
      <c r="AE395" s="4"/>
      <c r="AF395" s="4"/>
    </row>
    <row r="396" spans="5:32" ht="12.75">
      <c r="E396" s="148"/>
      <c r="F396" s="148"/>
      <c r="G396" s="148"/>
      <c r="H396" s="148"/>
      <c r="AE396" s="4"/>
      <c r="AF396" s="4"/>
    </row>
    <row r="397" spans="5:32" ht="12.75">
      <c r="E397" s="148"/>
      <c r="F397" s="148"/>
      <c r="G397" s="148"/>
      <c r="H397" s="148"/>
      <c r="AE397" s="4"/>
      <c r="AF397" s="4"/>
    </row>
    <row r="398" spans="5:32" ht="12.75">
      <c r="E398" s="148"/>
      <c r="F398" s="148"/>
      <c r="G398" s="148"/>
      <c r="H398" s="148"/>
      <c r="AE398" s="4"/>
      <c r="AF398" s="4"/>
    </row>
    <row r="399" spans="5:32" ht="12.75">
      <c r="E399" s="148"/>
      <c r="F399" s="148"/>
      <c r="G399" s="148"/>
      <c r="H399" s="148"/>
      <c r="AE399" s="4"/>
      <c r="AF399" s="4"/>
    </row>
    <row r="400" spans="5:32" ht="12.75">
      <c r="E400" s="148"/>
      <c r="F400" s="148"/>
      <c r="G400" s="148"/>
      <c r="H400" s="148"/>
      <c r="AE400" s="4"/>
      <c r="AF400" s="4"/>
    </row>
    <row r="401" spans="5:32" ht="12.75">
      <c r="E401" s="148"/>
      <c r="F401" s="148"/>
      <c r="G401" s="148"/>
      <c r="H401" s="148"/>
      <c r="AE401" s="4"/>
      <c r="AF401" s="4"/>
    </row>
    <row r="402" spans="5:32" ht="12.75">
      <c r="E402" s="148"/>
      <c r="F402" s="148"/>
      <c r="G402" s="148"/>
      <c r="H402" s="148"/>
      <c r="AE402" s="4"/>
      <c r="AF402" s="4"/>
    </row>
    <row r="403" spans="5:32" ht="12.75">
      <c r="E403" s="148"/>
      <c r="F403" s="148"/>
      <c r="G403" s="148"/>
      <c r="H403" s="148"/>
      <c r="AE403" s="4"/>
      <c r="AF403" s="4"/>
    </row>
    <row r="404" spans="5:32" ht="12.75">
      <c r="E404" s="148"/>
      <c r="F404" s="148"/>
      <c r="G404" s="148"/>
      <c r="H404" s="148"/>
      <c r="AE404" s="4"/>
      <c r="AF404" s="4"/>
    </row>
    <row r="405" spans="5:32" ht="12.75">
      <c r="E405" s="148"/>
      <c r="F405" s="148"/>
      <c r="G405" s="148"/>
      <c r="H405" s="148"/>
      <c r="AE405" s="4"/>
      <c r="AF405" s="4"/>
    </row>
    <row r="406" spans="5:32" ht="12.75">
      <c r="E406" s="148"/>
      <c r="F406" s="148"/>
      <c r="G406" s="148"/>
      <c r="H406" s="148"/>
      <c r="AE406" s="4"/>
      <c r="AF406" s="4"/>
    </row>
    <row r="407" spans="5:32" ht="12.75">
      <c r="E407" s="148"/>
      <c r="F407" s="148"/>
      <c r="G407" s="148"/>
      <c r="H407" s="148"/>
      <c r="AE407" s="4"/>
      <c r="AF407" s="4"/>
    </row>
    <row r="408" spans="5:32" ht="12.75">
      <c r="E408" s="148"/>
      <c r="F408" s="148"/>
      <c r="G408" s="148"/>
      <c r="H408" s="148"/>
      <c r="AE408" s="4"/>
      <c r="AF408" s="4"/>
    </row>
    <row r="409" spans="5:32" ht="12.75">
      <c r="E409" s="148"/>
      <c r="F409" s="148"/>
      <c r="G409" s="148"/>
      <c r="H409" s="148"/>
      <c r="AE409" s="4"/>
      <c r="AF409" s="4"/>
    </row>
    <row r="410" spans="5:32" ht="12.75">
      <c r="E410" s="148"/>
      <c r="F410" s="148"/>
      <c r="G410" s="148"/>
      <c r="H410" s="148"/>
      <c r="AE410" s="4"/>
      <c r="AF410" s="4"/>
    </row>
    <row r="411" spans="5:32" ht="12.75">
      <c r="E411" s="148"/>
      <c r="F411" s="148"/>
      <c r="G411" s="148"/>
      <c r="H411" s="148"/>
      <c r="AE411" s="4"/>
      <c r="AF411" s="4"/>
    </row>
    <row r="412" spans="5:32" ht="12.75">
      <c r="E412" s="148"/>
      <c r="F412" s="148"/>
      <c r="G412" s="148"/>
      <c r="H412" s="148"/>
      <c r="AE412" s="4"/>
      <c r="AF412" s="4"/>
    </row>
    <row r="413" spans="5:32" ht="12.75">
      <c r="E413" s="148"/>
      <c r="F413" s="148"/>
      <c r="G413" s="148"/>
      <c r="H413" s="148"/>
      <c r="AE413" s="4"/>
      <c r="AF413" s="4"/>
    </row>
    <row r="414" spans="5:32" ht="12.75">
      <c r="E414" s="148"/>
      <c r="F414" s="148"/>
      <c r="G414" s="148"/>
      <c r="H414" s="148"/>
      <c r="AE414" s="4"/>
      <c r="AF414" s="4"/>
    </row>
    <row r="415" spans="5:32" ht="12.75">
      <c r="E415" s="148"/>
      <c r="F415" s="148"/>
      <c r="G415" s="148"/>
      <c r="H415" s="148"/>
      <c r="AE415" s="4"/>
      <c r="AF415" s="4"/>
    </row>
    <row r="416" spans="5:32" ht="12.75">
      <c r="E416" s="148"/>
      <c r="F416" s="148"/>
      <c r="G416" s="148"/>
      <c r="H416" s="148"/>
      <c r="AE416" s="4"/>
      <c r="AF416" s="4"/>
    </row>
    <row r="417" spans="5:32" ht="12.75">
      <c r="E417" s="148"/>
      <c r="F417" s="148"/>
      <c r="G417" s="148"/>
      <c r="H417" s="148"/>
      <c r="AE417" s="4"/>
      <c r="AF417" s="4"/>
    </row>
    <row r="418" spans="5:32" ht="12.75">
      <c r="E418" s="148"/>
      <c r="F418" s="148"/>
      <c r="G418" s="148"/>
      <c r="H418" s="148"/>
      <c r="AE418" s="4"/>
      <c r="AF418" s="4"/>
    </row>
    <row r="419" spans="5:32" ht="12.75">
      <c r="E419" s="148"/>
      <c r="F419" s="148"/>
      <c r="G419" s="148"/>
      <c r="H419" s="148"/>
      <c r="AE419" s="4"/>
      <c r="AF419" s="4"/>
    </row>
    <row r="420" spans="5:32" ht="12.75">
      <c r="E420" s="148"/>
      <c r="F420" s="148"/>
      <c r="G420" s="148"/>
      <c r="H420" s="148"/>
      <c r="AE420" s="4"/>
      <c r="AF420" s="4"/>
    </row>
    <row r="421" spans="5:32" ht="12.75">
      <c r="E421" s="148"/>
      <c r="F421" s="148"/>
      <c r="G421" s="148"/>
      <c r="H421" s="148"/>
      <c r="AE421" s="4"/>
      <c r="AF421" s="4"/>
    </row>
    <row r="422" spans="5:32" ht="12.75">
      <c r="E422" s="148"/>
      <c r="F422" s="148"/>
      <c r="G422" s="148"/>
      <c r="H422" s="148"/>
      <c r="AE422" s="4"/>
      <c r="AF422" s="4"/>
    </row>
    <row r="423" spans="5:32" ht="12.75">
      <c r="E423" s="148"/>
      <c r="F423" s="148"/>
      <c r="G423" s="148"/>
      <c r="H423" s="148"/>
      <c r="AE423" s="4"/>
      <c r="AF423" s="4"/>
    </row>
    <row r="424" spans="5:32" ht="12.75">
      <c r="E424" s="148"/>
      <c r="F424" s="148"/>
      <c r="G424" s="148"/>
      <c r="H424" s="148"/>
      <c r="AE424" s="4"/>
      <c r="AF424" s="4"/>
    </row>
    <row r="425" spans="5:32" ht="12.75">
      <c r="E425" s="148"/>
      <c r="F425" s="148"/>
      <c r="G425" s="148"/>
      <c r="H425" s="148"/>
      <c r="AE425" s="4"/>
      <c r="AF425" s="4"/>
    </row>
    <row r="426" spans="5:32" ht="12.75">
      <c r="E426" s="148"/>
      <c r="F426" s="148"/>
      <c r="G426" s="148"/>
      <c r="H426" s="148"/>
      <c r="AE426" s="4"/>
      <c r="AF426" s="4"/>
    </row>
    <row r="427" spans="5:32" ht="12.75">
      <c r="E427" s="148"/>
      <c r="F427" s="148"/>
      <c r="G427" s="148"/>
      <c r="H427" s="148"/>
      <c r="AE427" s="4"/>
      <c r="AF427" s="4"/>
    </row>
    <row r="428" spans="5:32" ht="12.75">
      <c r="E428" s="148"/>
      <c r="F428" s="148"/>
      <c r="G428" s="148"/>
      <c r="H428" s="148"/>
      <c r="AE428" s="4"/>
      <c r="AF428" s="4"/>
    </row>
    <row r="429" spans="5:32" ht="12.75">
      <c r="E429" s="148"/>
      <c r="F429" s="148"/>
      <c r="G429" s="148"/>
      <c r="H429" s="148"/>
      <c r="AE429" s="4"/>
      <c r="AF429" s="4"/>
    </row>
    <row r="430" spans="5:32" ht="12.75">
      <c r="E430" s="148"/>
      <c r="F430" s="148"/>
      <c r="G430" s="148"/>
      <c r="H430" s="148"/>
      <c r="AE430" s="4"/>
      <c r="AF430" s="4"/>
    </row>
    <row r="431" spans="5:32" ht="12.75">
      <c r="E431" s="148"/>
      <c r="F431" s="148"/>
      <c r="G431" s="148"/>
      <c r="H431" s="148"/>
      <c r="AE431" s="4"/>
      <c r="AF431" s="4"/>
    </row>
    <row r="432" spans="5:32" ht="12.75">
      <c r="E432" s="148"/>
      <c r="F432" s="148"/>
      <c r="G432" s="148"/>
      <c r="H432" s="148"/>
      <c r="AE432" s="4"/>
      <c r="AF432" s="4"/>
    </row>
    <row r="433" spans="5:32" ht="12.75">
      <c r="E433" s="148"/>
      <c r="F433" s="148"/>
      <c r="G433" s="148"/>
      <c r="H433" s="148"/>
      <c r="AE433" s="4"/>
      <c r="AF433" s="4"/>
    </row>
    <row r="434" spans="5:32" ht="12.75">
      <c r="E434" s="148"/>
      <c r="F434" s="148"/>
      <c r="G434" s="148"/>
      <c r="H434" s="148"/>
      <c r="AE434" s="4"/>
      <c r="AF434" s="4"/>
    </row>
    <row r="435" spans="5:32" ht="12.75">
      <c r="E435" s="148"/>
      <c r="F435" s="148"/>
      <c r="G435" s="148"/>
      <c r="H435" s="148"/>
      <c r="AE435" s="4"/>
      <c r="AF435" s="4"/>
    </row>
    <row r="436" spans="5:32" ht="12.75">
      <c r="E436" s="148"/>
      <c r="F436" s="148"/>
      <c r="G436" s="148"/>
      <c r="H436" s="148"/>
      <c r="AE436" s="4"/>
      <c r="AF436" s="4"/>
    </row>
    <row r="437" spans="5:32" ht="12.75">
      <c r="E437" s="148"/>
      <c r="F437" s="148"/>
      <c r="G437" s="148"/>
      <c r="H437" s="148"/>
      <c r="AE437" s="4"/>
      <c r="AF437" s="4"/>
    </row>
    <row r="438" spans="5:32" ht="12.75">
      <c r="E438" s="148"/>
      <c r="F438" s="148"/>
      <c r="G438" s="148"/>
      <c r="H438" s="148"/>
      <c r="AE438" s="4"/>
      <c r="AF438" s="4"/>
    </row>
    <row r="439" spans="5:32" ht="12.75">
      <c r="E439" s="148"/>
      <c r="F439" s="148"/>
      <c r="G439" s="148"/>
      <c r="H439" s="148"/>
      <c r="AE439" s="4"/>
      <c r="AF439" s="4"/>
    </row>
    <row r="440" spans="5:32" ht="12.75">
      <c r="E440" s="148"/>
      <c r="F440" s="148"/>
      <c r="G440" s="148"/>
      <c r="H440" s="148"/>
      <c r="AE440" s="4"/>
      <c r="AF440" s="4"/>
    </row>
    <row r="441" spans="5:32" ht="12.75">
      <c r="E441" s="148"/>
      <c r="F441" s="148"/>
      <c r="G441" s="148"/>
      <c r="H441" s="148"/>
      <c r="AE441" s="4"/>
      <c r="AF441" s="4"/>
    </row>
    <row r="442" spans="5:32" ht="12.75">
      <c r="E442" s="148"/>
      <c r="F442" s="148"/>
      <c r="G442" s="148"/>
      <c r="H442" s="148"/>
      <c r="AE442" s="4"/>
      <c r="AF442" s="4"/>
    </row>
    <row r="443" spans="5:32" ht="12.75">
      <c r="E443" s="148"/>
      <c r="F443" s="148"/>
      <c r="G443" s="148"/>
      <c r="H443" s="148"/>
      <c r="AE443" s="4"/>
      <c r="AF443" s="4"/>
    </row>
    <row r="444" spans="5:32" ht="12.75">
      <c r="E444" s="148"/>
      <c r="F444" s="148"/>
      <c r="G444" s="148"/>
      <c r="H444" s="148"/>
      <c r="AE444" s="4"/>
      <c r="AF444" s="4"/>
    </row>
    <row r="445" spans="5:32" ht="12.75">
      <c r="E445" s="148"/>
      <c r="F445" s="148"/>
      <c r="G445" s="148"/>
      <c r="H445" s="148"/>
      <c r="AE445" s="4"/>
      <c r="AF445" s="4"/>
    </row>
    <row r="446" spans="5:32" ht="12.75">
      <c r="E446" s="148"/>
      <c r="F446" s="148"/>
      <c r="G446" s="148"/>
      <c r="H446" s="148"/>
      <c r="AE446" s="4"/>
      <c r="AF446" s="4"/>
    </row>
    <row r="447" spans="5:32" ht="12.75">
      <c r="E447" s="148"/>
      <c r="F447" s="148"/>
      <c r="G447" s="148"/>
      <c r="H447" s="148"/>
      <c r="AE447" s="4"/>
      <c r="AF447" s="4"/>
    </row>
    <row r="448" spans="5:32" ht="12.75">
      <c r="E448" s="148"/>
      <c r="F448" s="148"/>
      <c r="G448" s="148"/>
      <c r="H448" s="148"/>
      <c r="AE448" s="4"/>
      <c r="AF448" s="4"/>
    </row>
    <row r="449" spans="5:32" ht="12.75">
      <c r="E449" s="148"/>
      <c r="F449" s="148"/>
      <c r="G449" s="148"/>
      <c r="H449" s="148"/>
      <c r="AE449" s="4"/>
      <c r="AF449" s="4"/>
    </row>
    <row r="450" spans="5:32" ht="12.75">
      <c r="E450" s="148"/>
      <c r="F450" s="148"/>
      <c r="G450" s="148"/>
      <c r="H450" s="148"/>
      <c r="AE450" s="4"/>
      <c r="AF450" s="4"/>
    </row>
    <row r="451" spans="5:32" ht="12.75">
      <c r="E451" s="148"/>
      <c r="F451" s="148"/>
      <c r="G451" s="148"/>
      <c r="H451" s="148"/>
      <c r="AE451" s="4"/>
      <c r="AF451" s="4"/>
    </row>
    <row r="452" spans="5:32" ht="12.75">
      <c r="E452" s="148"/>
      <c r="F452" s="148"/>
      <c r="G452" s="148"/>
      <c r="H452" s="148"/>
      <c r="AE452" s="4"/>
      <c r="AF452" s="4"/>
    </row>
    <row r="453" spans="5:32" ht="12.75">
      <c r="E453" s="148"/>
      <c r="F453" s="148"/>
      <c r="G453" s="148"/>
      <c r="H453" s="148"/>
      <c r="AE453" s="4"/>
      <c r="AF453" s="4"/>
    </row>
    <row r="454" spans="5:32" ht="12.75">
      <c r="E454" s="148"/>
      <c r="F454" s="148"/>
      <c r="G454" s="148"/>
      <c r="H454" s="148"/>
      <c r="AE454" s="4"/>
      <c r="AF454" s="4"/>
    </row>
    <row r="455" spans="5:32" ht="12.75">
      <c r="E455" s="148"/>
      <c r="F455" s="148"/>
      <c r="G455" s="148"/>
      <c r="H455" s="148"/>
      <c r="AE455" s="4"/>
      <c r="AF455" s="4"/>
    </row>
    <row r="456" spans="5:32" ht="12.75">
      <c r="E456" s="148"/>
      <c r="F456" s="148"/>
      <c r="G456" s="148"/>
      <c r="H456" s="148"/>
      <c r="AE456" s="4"/>
      <c r="AF456" s="4"/>
    </row>
    <row r="457" spans="5:32" ht="12.75">
      <c r="E457" s="148"/>
      <c r="F457" s="148"/>
      <c r="G457" s="148"/>
      <c r="H457" s="148"/>
      <c r="AE457" s="4"/>
      <c r="AF457" s="4"/>
    </row>
    <row r="458" spans="5:32" ht="12.75">
      <c r="E458" s="148"/>
      <c r="F458" s="148"/>
      <c r="G458" s="148"/>
      <c r="H458" s="148"/>
      <c r="AE458" s="4"/>
      <c r="AF458" s="4"/>
    </row>
    <row r="459" spans="5:32" ht="12.75">
      <c r="E459" s="148"/>
      <c r="F459" s="148"/>
      <c r="G459" s="148"/>
      <c r="H459" s="148"/>
      <c r="AE459" s="4"/>
      <c r="AF459" s="4"/>
    </row>
    <row r="460" spans="5:32" ht="12.75">
      <c r="E460" s="148"/>
      <c r="F460" s="148"/>
      <c r="G460" s="148"/>
      <c r="H460" s="148"/>
      <c r="AE460" s="4"/>
      <c r="AF460" s="4"/>
    </row>
    <row r="461" spans="5:32" ht="12.75">
      <c r="E461" s="148"/>
      <c r="F461" s="148"/>
      <c r="G461" s="148"/>
      <c r="H461" s="148"/>
      <c r="AE461" s="4"/>
      <c r="AF461" s="4"/>
    </row>
    <row r="462" spans="5:32" ht="12.75">
      <c r="E462" s="148"/>
      <c r="F462" s="148"/>
      <c r="G462" s="148"/>
      <c r="H462" s="148"/>
      <c r="AE462" s="4"/>
      <c r="AF462" s="4"/>
    </row>
    <row r="463" spans="5:32" ht="12.75">
      <c r="E463" s="148"/>
      <c r="F463" s="148"/>
      <c r="G463" s="148"/>
      <c r="H463" s="148"/>
      <c r="AE463" s="4"/>
      <c r="AF463" s="4"/>
    </row>
    <row r="464" spans="5:32" ht="12.75">
      <c r="E464" s="148"/>
      <c r="F464" s="148"/>
      <c r="G464" s="148"/>
      <c r="H464" s="148"/>
      <c r="AE464" s="4"/>
      <c r="AF464" s="4"/>
    </row>
    <row r="465" spans="5:32" ht="12.75">
      <c r="E465" s="148"/>
      <c r="F465" s="148"/>
      <c r="G465" s="148"/>
      <c r="H465" s="148"/>
      <c r="AE465" s="4"/>
      <c r="AF465" s="4"/>
    </row>
    <row r="466" spans="5:32" ht="12.75">
      <c r="E466" s="148"/>
      <c r="F466" s="148"/>
      <c r="G466" s="148"/>
      <c r="H466" s="148"/>
      <c r="AE466" s="4"/>
      <c r="AF466" s="4"/>
    </row>
    <row r="467" spans="5:32" ht="12.75">
      <c r="E467" s="148"/>
      <c r="F467" s="148"/>
      <c r="G467" s="148"/>
      <c r="H467" s="148"/>
      <c r="AE467" s="4"/>
      <c r="AF467" s="4"/>
    </row>
    <row r="468" spans="5:32" ht="12.75">
      <c r="E468" s="148"/>
      <c r="F468" s="148"/>
      <c r="G468" s="148"/>
      <c r="H468" s="148"/>
      <c r="AE468" s="4"/>
      <c r="AF468" s="4"/>
    </row>
    <row r="469" spans="5:32" ht="12.75">
      <c r="E469" s="148"/>
      <c r="F469" s="148"/>
      <c r="G469" s="148"/>
      <c r="H469" s="148"/>
      <c r="AE469" s="4"/>
      <c r="AF469" s="4"/>
    </row>
    <row r="470" spans="5:32" ht="12.75">
      <c r="E470" s="148"/>
      <c r="F470" s="148"/>
      <c r="G470" s="148"/>
      <c r="H470" s="148"/>
      <c r="AE470" s="4"/>
      <c r="AF470" s="4"/>
    </row>
    <row r="471" spans="5:32" ht="12.75">
      <c r="E471" s="148"/>
      <c r="F471" s="148"/>
      <c r="G471" s="148"/>
      <c r="H471" s="148"/>
      <c r="AE471" s="4"/>
      <c r="AF471" s="4"/>
    </row>
    <row r="472" spans="5:32" ht="12.75">
      <c r="E472" s="148"/>
      <c r="F472" s="148"/>
      <c r="G472" s="148"/>
      <c r="H472" s="148"/>
      <c r="AE472" s="4"/>
      <c r="AF472" s="4"/>
    </row>
    <row r="473" spans="5:32" ht="12.75">
      <c r="E473" s="148"/>
      <c r="F473" s="148"/>
      <c r="G473" s="148"/>
      <c r="H473" s="148"/>
      <c r="AE473" s="4"/>
      <c r="AF473" s="4"/>
    </row>
    <row r="474" spans="5:32" ht="12.75">
      <c r="E474" s="148"/>
      <c r="F474" s="148"/>
      <c r="G474" s="148"/>
      <c r="H474" s="148"/>
      <c r="AE474" s="4"/>
      <c r="AF474" s="4"/>
    </row>
    <row r="475" spans="5:32" ht="12.75">
      <c r="E475" s="148"/>
      <c r="F475" s="148"/>
      <c r="G475" s="148"/>
      <c r="H475" s="148"/>
      <c r="AE475" s="4"/>
      <c r="AF475" s="4"/>
    </row>
    <row r="476" spans="5:32" ht="12.75">
      <c r="E476" s="148"/>
      <c r="F476" s="148"/>
      <c r="G476" s="148"/>
      <c r="H476" s="148"/>
      <c r="AE476" s="4"/>
      <c r="AF476" s="4"/>
    </row>
    <row r="477" spans="5:32" ht="12.75">
      <c r="E477" s="148"/>
      <c r="F477" s="148"/>
      <c r="G477" s="148"/>
      <c r="H477" s="148"/>
      <c r="AE477" s="4"/>
      <c r="AF477" s="4"/>
    </row>
    <row r="478" spans="5:32" ht="12.75">
      <c r="E478" s="148"/>
      <c r="F478" s="148"/>
      <c r="G478" s="148"/>
      <c r="H478" s="148"/>
      <c r="AE478" s="4"/>
      <c r="AF478" s="4"/>
    </row>
    <row r="479" spans="5:32" ht="12.75">
      <c r="E479" s="148"/>
      <c r="F479" s="148"/>
      <c r="G479" s="148"/>
      <c r="H479" s="148"/>
      <c r="AE479" s="4"/>
      <c r="AF479" s="4"/>
    </row>
    <row r="480" spans="5:32" ht="12.75">
      <c r="E480" s="148"/>
      <c r="F480" s="148"/>
      <c r="G480" s="148"/>
      <c r="H480" s="148"/>
      <c r="AE480" s="4"/>
      <c r="AF480" s="4"/>
    </row>
    <row r="481" spans="5:32" ht="12.75">
      <c r="E481" s="148"/>
      <c r="F481" s="148"/>
      <c r="G481" s="148"/>
      <c r="H481" s="148"/>
      <c r="AE481" s="4"/>
      <c r="AF481" s="4"/>
    </row>
    <row r="482" spans="5:32" ht="12.75">
      <c r="E482" s="148"/>
      <c r="F482" s="148"/>
      <c r="G482" s="148"/>
      <c r="H482" s="148"/>
      <c r="AE482" s="4"/>
      <c r="AF482" s="4"/>
    </row>
    <row r="483" spans="5:32" ht="12.75">
      <c r="E483" s="148"/>
      <c r="F483" s="148"/>
      <c r="G483" s="148"/>
      <c r="H483" s="148"/>
      <c r="AE483" s="4"/>
      <c r="AF483" s="4"/>
    </row>
    <row r="484" spans="5:32" ht="12.75">
      <c r="E484" s="148"/>
      <c r="F484" s="148"/>
      <c r="G484" s="148"/>
      <c r="H484" s="148"/>
      <c r="AE484" s="4"/>
      <c r="AF484" s="4"/>
    </row>
    <row r="485" spans="5:32" ht="12.75">
      <c r="E485" s="148"/>
      <c r="F485" s="148"/>
      <c r="G485" s="148"/>
      <c r="H485" s="148"/>
      <c r="AE485" s="4"/>
      <c r="AF485" s="4"/>
    </row>
    <row r="486" spans="5:32" ht="12.75">
      <c r="E486" s="148"/>
      <c r="F486" s="148"/>
      <c r="G486" s="148"/>
      <c r="H486" s="148"/>
      <c r="AE486" s="4"/>
      <c r="AF486" s="4"/>
    </row>
    <row r="487" spans="5:32" ht="12.75">
      <c r="E487" s="148"/>
      <c r="F487" s="148"/>
      <c r="G487" s="148"/>
      <c r="H487" s="148"/>
      <c r="AE487" s="4"/>
      <c r="AF487" s="4"/>
    </row>
    <row r="488" spans="5:32" ht="12.75">
      <c r="E488" s="148"/>
      <c r="F488" s="148"/>
      <c r="G488" s="148"/>
      <c r="H488" s="148"/>
      <c r="AE488" s="4"/>
      <c r="AF488" s="4"/>
    </row>
    <row r="489" spans="5:32" ht="12.75">
      <c r="E489" s="148"/>
      <c r="F489" s="148"/>
      <c r="G489" s="148"/>
      <c r="H489" s="148"/>
      <c r="AE489" s="4"/>
      <c r="AF489" s="4"/>
    </row>
    <row r="490" spans="5:32" ht="12.75">
      <c r="E490" s="148"/>
      <c r="F490" s="148"/>
      <c r="G490" s="148"/>
      <c r="H490" s="148"/>
      <c r="AE490" s="4"/>
      <c r="AF490" s="4"/>
    </row>
    <row r="491" spans="5:32" ht="12.75">
      <c r="E491" s="148"/>
      <c r="F491" s="148"/>
      <c r="G491" s="148"/>
      <c r="H491" s="148"/>
      <c r="AE491" s="4"/>
      <c r="AF491" s="4"/>
    </row>
    <row r="492" spans="5:32" ht="12.75">
      <c r="E492" s="148"/>
      <c r="F492" s="148"/>
      <c r="G492" s="148"/>
      <c r="H492" s="148"/>
      <c r="AE492" s="4"/>
      <c r="AF492" s="4"/>
    </row>
    <row r="493" spans="5:32" ht="12.75">
      <c r="E493" s="148"/>
      <c r="F493" s="148"/>
      <c r="G493" s="148"/>
      <c r="H493" s="148"/>
      <c r="AE493" s="4"/>
      <c r="AF493" s="4"/>
    </row>
    <row r="494" spans="5:32" ht="12.75">
      <c r="E494" s="148"/>
      <c r="F494" s="148"/>
      <c r="G494" s="148"/>
      <c r="H494" s="148"/>
      <c r="AE494" s="4"/>
      <c r="AF494" s="4"/>
    </row>
    <row r="495" spans="5:32" ht="12.75">
      <c r="E495" s="148"/>
      <c r="F495" s="148"/>
      <c r="G495" s="148"/>
      <c r="H495" s="148"/>
      <c r="AE495" s="4"/>
      <c r="AF495" s="4"/>
    </row>
    <row r="496" spans="5:32" ht="12.75">
      <c r="E496" s="148"/>
      <c r="F496" s="148"/>
      <c r="G496" s="148"/>
      <c r="H496" s="148"/>
      <c r="AE496" s="4"/>
      <c r="AF496" s="4"/>
    </row>
    <row r="497" spans="5:32" ht="12.75">
      <c r="E497" s="148"/>
      <c r="F497" s="148"/>
      <c r="G497" s="148"/>
      <c r="H497" s="148"/>
      <c r="AE497" s="4"/>
      <c r="AF497" s="4"/>
    </row>
    <row r="498" spans="5:32" ht="12.75">
      <c r="E498" s="148"/>
      <c r="F498" s="148"/>
      <c r="G498" s="148"/>
      <c r="H498" s="148"/>
      <c r="AE498" s="4"/>
      <c r="AF498" s="4"/>
    </row>
    <row r="499" spans="5:32" ht="12.75">
      <c r="E499" s="148"/>
      <c r="F499" s="148"/>
      <c r="G499" s="148"/>
      <c r="H499" s="148"/>
      <c r="AE499" s="4"/>
      <c r="AF499" s="4"/>
    </row>
    <row r="500" spans="5:32" ht="12.75">
      <c r="E500" s="148"/>
      <c r="F500" s="148"/>
      <c r="G500" s="148"/>
      <c r="H500" s="148"/>
      <c r="AE500" s="4"/>
      <c r="AF500" s="4"/>
    </row>
    <row r="501" spans="5:32" ht="12.75">
      <c r="E501" s="148"/>
      <c r="F501" s="148"/>
      <c r="G501" s="148"/>
      <c r="H501" s="148"/>
      <c r="AE501" s="4"/>
      <c r="AF501" s="4"/>
    </row>
    <row r="502" spans="5:32" ht="12.75">
      <c r="E502" s="148"/>
      <c r="F502" s="148"/>
      <c r="G502" s="148"/>
      <c r="H502" s="148"/>
      <c r="AE502" s="4"/>
      <c r="AF502" s="4"/>
    </row>
    <row r="503" spans="5:32" ht="12.75">
      <c r="E503" s="148"/>
      <c r="F503" s="148"/>
      <c r="G503" s="148"/>
      <c r="H503" s="148"/>
      <c r="AE503" s="4"/>
      <c r="AF503" s="4"/>
    </row>
    <row r="504" spans="5:32" ht="12.75">
      <c r="E504" s="148"/>
      <c r="F504" s="148"/>
      <c r="G504" s="148"/>
      <c r="H504" s="148"/>
      <c r="AE504" s="4"/>
      <c r="AF504" s="4"/>
    </row>
    <row r="505" spans="5:32" ht="12.75">
      <c r="E505" s="148"/>
      <c r="F505" s="148"/>
      <c r="G505" s="148"/>
      <c r="H505" s="148"/>
      <c r="AE505" s="4"/>
      <c r="AF505" s="4"/>
    </row>
    <row r="506" spans="5:32" ht="12.75">
      <c r="E506" s="148"/>
      <c r="F506" s="148"/>
      <c r="G506" s="148"/>
      <c r="H506" s="148"/>
      <c r="AE506" s="4"/>
      <c r="AF506" s="4"/>
    </row>
    <row r="507" spans="5:32" ht="12.75">
      <c r="E507" s="148"/>
      <c r="F507" s="148"/>
      <c r="G507" s="148"/>
      <c r="H507" s="148"/>
      <c r="AE507" s="4"/>
      <c r="AF507" s="4"/>
    </row>
    <row r="508" spans="5:32" ht="12.75">
      <c r="E508" s="148"/>
      <c r="F508" s="148"/>
      <c r="G508" s="148"/>
      <c r="H508" s="148"/>
      <c r="AE508" s="4"/>
      <c r="AF508" s="4"/>
    </row>
    <row r="509" spans="5:32" ht="12.75">
      <c r="E509" s="148"/>
      <c r="F509" s="148"/>
      <c r="G509" s="148"/>
      <c r="H509" s="148"/>
      <c r="AE509" s="4"/>
      <c r="AF509" s="4"/>
    </row>
    <row r="510" spans="5:32" ht="12.75">
      <c r="E510" s="148"/>
      <c r="F510" s="148"/>
      <c r="G510" s="148"/>
      <c r="H510" s="148"/>
      <c r="AE510" s="4"/>
      <c r="AF510" s="4"/>
    </row>
    <row r="511" spans="5:32" ht="12.75">
      <c r="E511" s="148"/>
      <c r="F511" s="148"/>
      <c r="G511" s="148"/>
      <c r="H511" s="148"/>
      <c r="AE511" s="4"/>
      <c r="AF511" s="4"/>
    </row>
    <row r="512" spans="5:32" ht="12.75">
      <c r="E512" s="148"/>
      <c r="F512" s="148"/>
      <c r="G512" s="148"/>
      <c r="H512" s="148"/>
      <c r="AE512" s="4"/>
      <c r="AF512" s="4"/>
    </row>
    <row r="513" spans="5:32" ht="12.75">
      <c r="E513" s="148"/>
      <c r="F513" s="148"/>
      <c r="G513" s="148"/>
      <c r="H513" s="148"/>
      <c r="AE513" s="4"/>
      <c r="AF513" s="4"/>
    </row>
    <row r="514" spans="5:32" ht="12.75">
      <c r="E514" s="148"/>
      <c r="F514" s="148"/>
      <c r="G514" s="148"/>
      <c r="H514" s="148"/>
      <c r="AE514" s="4"/>
      <c r="AF514" s="4"/>
    </row>
    <row r="515" spans="5:32" ht="12.75">
      <c r="E515" s="148"/>
      <c r="F515" s="148"/>
      <c r="G515" s="148"/>
      <c r="H515" s="148"/>
      <c r="AE515" s="4"/>
      <c r="AF515" s="4"/>
    </row>
    <row r="516" spans="5:32" ht="12.75">
      <c r="E516" s="148"/>
      <c r="F516" s="148"/>
      <c r="G516" s="148"/>
      <c r="H516" s="148"/>
      <c r="AE516" s="4"/>
      <c r="AF516" s="4"/>
    </row>
    <row r="517" spans="5:32" ht="12.75">
      <c r="E517" s="148"/>
      <c r="F517" s="148"/>
      <c r="G517" s="148"/>
      <c r="H517" s="148"/>
      <c r="AE517" s="4"/>
      <c r="AF517" s="4"/>
    </row>
    <row r="518" spans="5:32" ht="12.75">
      <c r="E518" s="148"/>
      <c r="F518" s="148"/>
      <c r="G518" s="148"/>
      <c r="H518" s="148"/>
      <c r="AE518" s="4"/>
      <c r="AF518" s="4"/>
    </row>
    <row r="519" spans="5:32" ht="12.75">
      <c r="E519" s="148"/>
      <c r="F519" s="148"/>
      <c r="G519" s="148"/>
      <c r="H519" s="148"/>
      <c r="AE519" s="4"/>
      <c r="AF519" s="4"/>
    </row>
    <row r="520" spans="5:32" ht="12.75">
      <c r="E520" s="148"/>
      <c r="F520" s="148"/>
      <c r="G520" s="148"/>
      <c r="H520" s="148"/>
      <c r="AE520" s="4"/>
      <c r="AF520" s="4"/>
    </row>
    <row r="521" spans="5:32" ht="12.75">
      <c r="E521" s="148"/>
      <c r="F521" s="148"/>
      <c r="G521" s="148"/>
      <c r="H521" s="148"/>
      <c r="AE521" s="4"/>
      <c r="AF521" s="4"/>
    </row>
    <row r="522" spans="5:32" ht="12.75">
      <c r="E522" s="148"/>
      <c r="F522" s="148"/>
      <c r="G522" s="148"/>
      <c r="H522" s="148"/>
      <c r="AE522" s="4"/>
      <c r="AF522" s="4"/>
    </row>
    <row r="523" spans="5:32" ht="12.75">
      <c r="E523" s="148"/>
      <c r="F523" s="148"/>
      <c r="G523" s="148"/>
      <c r="H523" s="148"/>
      <c r="AE523" s="4"/>
      <c r="AF523" s="4"/>
    </row>
    <row r="524" spans="5:32" ht="12.75">
      <c r="E524" s="148"/>
      <c r="F524" s="148"/>
      <c r="G524" s="148"/>
      <c r="H524" s="148"/>
      <c r="AE524" s="4"/>
      <c r="AF524" s="4"/>
    </row>
    <row r="525" spans="5:32" ht="12.75">
      <c r="E525" s="148"/>
      <c r="F525" s="148"/>
      <c r="G525" s="148"/>
      <c r="H525" s="148"/>
      <c r="AE525" s="4"/>
      <c r="AF525" s="4"/>
    </row>
    <row r="526" spans="5:32" ht="12.75">
      <c r="E526" s="148"/>
      <c r="F526" s="148"/>
      <c r="G526" s="148"/>
      <c r="H526" s="148"/>
      <c r="AE526" s="4"/>
      <c r="AF526" s="4"/>
    </row>
    <row r="527" spans="5:32" ht="12.75">
      <c r="E527" s="148"/>
      <c r="F527" s="148"/>
      <c r="G527" s="148"/>
      <c r="H527" s="148"/>
      <c r="AE527" s="4"/>
      <c r="AF527" s="4"/>
    </row>
    <row r="528" spans="5:32" ht="12.75">
      <c r="E528" s="148"/>
      <c r="F528" s="148"/>
      <c r="G528" s="148"/>
      <c r="H528" s="148"/>
      <c r="AE528" s="4"/>
      <c r="AF528" s="4"/>
    </row>
    <row r="529" spans="5:32" ht="12.75">
      <c r="E529" s="148"/>
      <c r="F529" s="148"/>
      <c r="G529" s="148"/>
      <c r="H529" s="148"/>
      <c r="AE529" s="4"/>
      <c r="AF529" s="4"/>
    </row>
    <row r="530" spans="5:32" ht="12.75">
      <c r="E530" s="148"/>
      <c r="F530" s="148"/>
      <c r="G530" s="148"/>
      <c r="H530" s="148"/>
      <c r="AE530" s="4"/>
      <c r="AF530" s="4"/>
    </row>
    <row r="531" spans="5:32" ht="12.75">
      <c r="E531" s="148"/>
      <c r="F531" s="148"/>
      <c r="G531" s="148"/>
      <c r="H531" s="148"/>
      <c r="AE531" s="4"/>
      <c r="AF531" s="4"/>
    </row>
    <row r="532" spans="5:32" ht="12.75">
      <c r="E532" s="148"/>
      <c r="F532" s="148"/>
      <c r="G532" s="148"/>
      <c r="H532" s="148"/>
      <c r="AE532" s="4"/>
      <c r="AF532" s="4"/>
    </row>
    <row r="533" spans="5:32" ht="12.75">
      <c r="E533" s="148"/>
      <c r="F533" s="148"/>
      <c r="G533" s="148"/>
      <c r="H533" s="148"/>
      <c r="AE533" s="4"/>
      <c r="AF533" s="4"/>
    </row>
    <row r="534" spans="5:32" ht="12.75">
      <c r="E534" s="148"/>
      <c r="F534" s="148"/>
      <c r="G534" s="148"/>
      <c r="H534" s="148"/>
      <c r="AE534" s="4"/>
      <c r="AF534" s="4"/>
    </row>
    <row r="535" spans="5:32" ht="12.75">
      <c r="E535" s="148"/>
      <c r="F535" s="148"/>
      <c r="G535" s="148"/>
      <c r="H535" s="148"/>
      <c r="AE535" s="4"/>
      <c r="AF535" s="4"/>
    </row>
    <row r="536" spans="5:32" ht="12.75">
      <c r="E536" s="148"/>
      <c r="F536" s="148"/>
      <c r="G536" s="148"/>
      <c r="H536" s="148"/>
      <c r="AE536" s="4"/>
      <c r="AF536" s="4"/>
    </row>
    <row r="537" spans="5:32" ht="12.75">
      <c r="E537" s="148"/>
      <c r="F537" s="148"/>
      <c r="G537" s="148"/>
      <c r="H537" s="148"/>
      <c r="AE537" s="4"/>
      <c r="AF537" s="4"/>
    </row>
    <row r="538" spans="5:32" ht="12.75">
      <c r="E538" s="148"/>
      <c r="F538" s="148"/>
      <c r="G538" s="148"/>
      <c r="H538" s="148"/>
      <c r="AE538" s="4"/>
      <c r="AF538" s="4"/>
    </row>
    <row r="539" spans="5:32" ht="12.75">
      <c r="E539" s="148"/>
      <c r="F539" s="148"/>
      <c r="G539" s="148"/>
      <c r="H539" s="148"/>
      <c r="AE539" s="4"/>
      <c r="AF539" s="4"/>
    </row>
    <row r="540" spans="5:32" ht="12.75">
      <c r="E540" s="148"/>
      <c r="F540" s="148"/>
      <c r="G540" s="148"/>
      <c r="H540" s="148"/>
      <c r="AE540" s="4"/>
      <c r="AF540" s="4"/>
    </row>
    <row r="541" spans="5:32" ht="12.75">
      <c r="E541" s="148"/>
      <c r="F541" s="148"/>
      <c r="G541" s="148"/>
      <c r="H541" s="148"/>
      <c r="AE541" s="4"/>
      <c r="AF541" s="4"/>
    </row>
    <row r="542" spans="5:32" ht="12.75">
      <c r="E542" s="148"/>
      <c r="F542" s="148"/>
      <c r="G542" s="148"/>
      <c r="H542" s="148"/>
      <c r="AE542" s="4"/>
      <c r="AF542" s="4"/>
    </row>
    <row r="543" spans="5:32" ht="12.75">
      <c r="E543" s="148"/>
      <c r="F543" s="148"/>
      <c r="G543" s="148"/>
      <c r="H543" s="148"/>
      <c r="AE543" s="4"/>
      <c r="AF543" s="4"/>
    </row>
    <row r="544" spans="5:32" ht="12.75">
      <c r="E544" s="148"/>
      <c r="F544" s="148"/>
      <c r="G544" s="148"/>
      <c r="H544" s="148"/>
      <c r="AE544" s="4"/>
      <c r="AF544" s="4"/>
    </row>
    <row r="545" spans="5:32" ht="12.75">
      <c r="E545" s="148"/>
      <c r="F545" s="148"/>
      <c r="G545" s="148"/>
      <c r="H545" s="148"/>
      <c r="AE545" s="4"/>
      <c r="AF545" s="4"/>
    </row>
    <row r="546" spans="5:32" ht="12.75">
      <c r="E546" s="148"/>
      <c r="F546" s="148"/>
      <c r="G546" s="148"/>
      <c r="H546" s="148"/>
      <c r="AE546" s="4"/>
      <c r="AF546" s="4"/>
    </row>
    <row r="547" spans="5:32" ht="12.75">
      <c r="E547" s="148"/>
      <c r="F547" s="148"/>
      <c r="G547" s="148"/>
      <c r="H547" s="148"/>
      <c r="AE547" s="4"/>
      <c r="AF547" s="4"/>
    </row>
    <row r="548" spans="5:32" ht="12.75">
      <c r="E548" s="148"/>
      <c r="F548" s="148"/>
      <c r="G548" s="148"/>
      <c r="H548" s="148"/>
      <c r="AE548" s="4"/>
      <c r="AF548" s="4"/>
    </row>
    <row r="549" spans="5:32" ht="12.75">
      <c r="E549" s="148"/>
      <c r="F549" s="148"/>
      <c r="G549" s="148"/>
      <c r="H549" s="148"/>
      <c r="AE549" s="4"/>
      <c r="AF549" s="4"/>
    </row>
    <row r="550" spans="5:32" ht="12.75">
      <c r="E550" s="148"/>
      <c r="F550" s="148"/>
      <c r="G550" s="148"/>
      <c r="H550" s="148"/>
      <c r="AE550" s="4"/>
      <c r="AF550" s="4"/>
    </row>
    <row r="551" spans="5:32" ht="12.75">
      <c r="E551" s="148"/>
      <c r="F551" s="148"/>
      <c r="G551" s="148"/>
      <c r="H551" s="148"/>
      <c r="AE551" s="4"/>
      <c r="AF551" s="4"/>
    </row>
    <row r="552" spans="5:32" ht="12.75">
      <c r="E552" s="148"/>
      <c r="F552" s="148"/>
      <c r="G552" s="148"/>
      <c r="H552" s="148"/>
      <c r="AE552" s="4"/>
      <c r="AF552" s="4"/>
    </row>
    <row r="553" spans="5:32" ht="12.75">
      <c r="E553" s="148"/>
      <c r="F553" s="148"/>
      <c r="G553" s="148"/>
      <c r="H553" s="148"/>
      <c r="AE553" s="4"/>
      <c r="AF553" s="4"/>
    </row>
    <row r="554" spans="5:32" ht="12.75">
      <c r="E554" s="148"/>
      <c r="F554" s="148"/>
      <c r="G554" s="148"/>
      <c r="H554" s="148"/>
      <c r="AE554" s="4"/>
      <c r="AF554" s="4"/>
    </row>
    <row r="555" spans="5:32" ht="12.75">
      <c r="E555" s="148"/>
      <c r="F555" s="148"/>
      <c r="G555" s="148"/>
      <c r="H555" s="148"/>
      <c r="AE555" s="4"/>
      <c r="AF555" s="4"/>
    </row>
    <row r="556" spans="5:32" ht="12.75">
      <c r="E556" s="148"/>
      <c r="F556" s="148"/>
      <c r="G556" s="148"/>
      <c r="H556" s="148"/>
      <c r="AE556" s="4"/>
      <c r="AF556" s="4"/>
    </row>
    <row r="557" spans="5:32" ht="12.75">
      <c r="E557" s="148"/>
      <c r="F557" s="148"/>
      <c r="G557" s="148"/>
      <c r="H557" s="148"/>
      <c r="AE557" s="4"/>
      <c r="AF557" s="4"/>
    </row>
    <row r="558" spans="5:32" ht="12.75">
      <c r="E558" s="148"/>
      <c r="F558" s="148"/>
      <c r="G558" s="148"/>
      <c r="H558" s="148"/>
      <c r="AE558" s="4"/>
      <c r="AF558" s="4"/>
    </row>
    <row r="559" spans="5:32" ht="12.75">
      <c r="E559" s="148"/>
      <c r="F559" s="148"/>
      <c r="G559" s="148"/>
      <c r="H559" s="148"/>
      <c r="AE559" s="4"/>
      <c r="AF559" s="4"/>
    </row>
    <row r="560" spans="5:32" ht="12.75">
      <c r="E560" s="148"/>
      <c r="F560" s="148"/>
      <c r="G560" s="148"/>
      <c r="H560" s="148"/>
      <c r="AE560" s="4"/>
      <c r="AF560" s="4"/>
    </row>
    <row r="561" spans="5:32" ht="12.75">
      <c r="E561" s="148"/>
      <c r="F561" s="148"/>
      <c r="G561" s="148"/>
      <c r="H561" s="148"/>
      <c r="AE561" s="4"/>
      <c r="AF561" s="4"/>
    </row>
    <row r="562" spans="5:32" ht="12.75">
      <c r="E562" s="148"/>
      <c r="F562" s="148"/>
      <c r="G562" s="148"/>
      <c r="H562" s="148"/>
      <c r="AE562" s="4"/>
      <c r="AF562" s="4"/>
    </row>
    <row r="563" spans="5:32" ht="12.75">
      <c r="E563" s="148"/>
      <c r="F563" s="148"/>
      <c r="G563" s="148"/>
      <c r="H563" s="148"/>
      <c r="AE563" s="4"/>
      <c r="AF563" s="4"/>
    </row>
    <row r="564" spans="5:32" ht="12.75">
      <c r="E564" s="148"/>
      <c r="F564" s="148"/>
      <c r="G564" s="148"/>
      <c r="H564" s="148"/>
      <c r="AE564" s="4"/>
      <c r="AF564" s="4"/>
    </row>
    <row r="565" spans="5:32" ht="12.75">
      <c r="E565" s="148"/>
      <c r="F565" s="148"/>
      <c r="G565" s="148"/>
      <c r="H565" s="148"/>
      <c r="AE565" s="4"/>
      <c r="AF565" s="4"/>
    </row>
    <row r="566" spans="5:32" ht="12.75">
      <c r="E566" s="148"/>
      <c r="F566" s="148"/>
      <c r="G566" s="148"/>
      <c r="H566" s="148"/>
      <c r="AE566" s="4"/>
      <c r="AF566" s="4"/>
    </row>
    <row r="567" spans="5:32" ht="12.75">
      <c r="E567" s="148"/>
      <c r="F567" s="148"/>
      <c r="G567" s="148"/>
      <c r="H567" s="148"/>
      <c r="AE567" s="4"/>
      <c r="AF567" s="4"/>
    </row>
    <row r="568" spans="5:32" ht="12.75">
      <c r="E568" s="148"/>
      <c r="F568" s="148"/>
      <c r="G568" s="148"/>
      <c r="H568" s="148"/>
      <c r="AE568" s="4"/>
      <c r="AF568" s="4"/>
    </row>
    <row r="569" spans="5:32" ht="12.75">
      <c r="E569" s="148"/>
      <c r="F569" s="148"/>
      <c r="G569" s="148"/>
      <c r="H569" s="148"/>
      <c r="AE569" s="4"/>
      <c r="AF569" s="4"/>
    </row>
    <row r="570" spans="5:32" ht="12.75">
      <c r="E570" s="148"/>
      <c r="F570" s="148"/>
      <c r="G570" s="148"/>
      <c r="H570" s="148"/>
      <c r="AE570" s="4"/>
      <c r="AF570" s="4"/>
    </row>
    <row r="571" spans="5:32" ht="12.75">
      <c r="E571" s="148"/>
      <c r="F571" s="148"/>
      <c r="G571" s="148"/>
      <c r="H571" s="148"/>
      <c r="AE571" s="4"/>
      <c r="AF571" s="4"/>
    </row>
    <row r="572" spans="5:32" ht="12.75">
      <c r="E572" s="148"/>
      <c r="F572" s="148"/>
      <c r="G572" s="148"/>
      <c r="H572" s="148"/>
      <c r="AE572" s="4"/>
      <c r="AF572" s="4"/>
    </row>
    <row r="573" spans="5:32" ht="12.75">
      <c r="E573" s="148"/>
      <c r="F573" s="148"/>
      <c r="G573" s="148"/>
      <c r="H573" s="148"/>
      <c r="AE573" s="4"/>
      <c r="AF573" s="4"/>
    </row>
    <row r="574" spans="5:32" ht="12.75">
      <c r="E574" s="148"/>
      <c r="F574" s="148"/>
      <c r="G574" s="148"/>
      <c r="H574" s="148"/>
      <c r="AE574" s="4"/>
      <c r="AF574" s="4"/>
    </row>
    <row r="575" spans="5:32" ht="12.75">
      <c r="E575" s="148"/>
      <c r="F575" s="148"/>
      <c r="G575" s="148"/>
      <c r="H575" s="148"/>
      <c r="AE575" s="4"/>
      <c r="AF575" s="4"/>
    </row>
    <row r="576" spans="5:32" ht="12.75">
      <c r="E576" s="148"/>
      <c r="F576" s="148"/>
      <c r="G576" s="148"/>
      <c r="H576" s="148"/>
      <c r="AE576" s="4"/>
      <c r="AF576" s="4"/>
    </row>
    <row r="577" spans="5:32" ht="12.75">
      <c r="E577" s="148"/>
      <c r="F577" s="148"/>
      <c r="G577" s="148"/>
      <c r="H577" s="148"/>
      <c r="AE577" s="4"/>
      <c r="AF577" s="4"/>
    </row>
    <row r="578" spans="5:32" ht="12.75">
      <c r="E578" s="148"/>
      <c r="F578" s="148"/>
      <c r="G578" s="148"/>
      <c r="H578" s="148"/>
      <c r="AE578" s="4"/>
      <c r="AF578" s="4"/>
    </row>
    <row r="579" spans="5:32" ht="12.75">
      <c r="E579" s="148"/>
      <c r="F579" s="148"/>
      <c r="G579" s="148"/>
      <c r="H579" s="148"/>
      <c r="AE579" s="4"/>
      <c r="AF579" s="4"/>
    </row>
    <row r="580" spans="5:32" ht="12.75">
      <c r="E580" s="148"/>
      <c r="F580" s="148"/>
      <c r="G580" s="148"/>
      <c r="H580" s="148"/>
      <c r="AE580" s="4"/>
      <c r="AF580" s="4"/>
    </row>
    <row r="581" spans="5:32" ht="12.75">
      <c r="E581" s="148"/>
      <c r="F581" s="148"/>
      <c r="G581" s="148"/>
      <c r="H581" s="148"/>
      <c r="AE581" s="4"/>
      <c r="AF581" s="4"/>
    </row>
    <row r="582" spans="5:32" ht="12.75">
      <c r="E582" s="148"/>
      <c r="F582" s="148"/>
      <c r="G582" s="148"/>
      <c r="H582" s="148"/>
      <c r="AE582" s="4"/>
      <c r="AF582" s="4"/>
    </row>
    <row r="583" spans="5:32" ht="12.75">
      <c r="E583" s="148"/>
      <c r="F583" s="148"/>
      <c r="G583" s="148"/>
      <c r="H583" s="148"/>
      <c r="AE583" s="4"/>
      <c r="AF583" s="4"/>
    </row>
    <row r="584" spans="5:32" ht="12.75">
      <c r="E584" s="148"/>
      <c r="F584" s="148"/>
      <c r="G584" s="148"/>
      <c r="H584" s="148"/>
      <c r="AE584" s="4"/>
      <c r="AF584" s="4"/>
    </row>
    <row r="585" spans="5:32" ht="12.75">
      <c r="E585" s="148"/>
      <c r="F585" s="148"/>
      <c r="G585" s="148"/>
      <c r="H585" s="148"/>
      <c r="AE585" s="4"/>
      <c r="AF585" s="4"/>
    </row>
    <row r="586" spans="5:32" ht="12.75">
      <c r="E586" s="148"/>
      <c r="F586" s="148"/>
      <c r="G586" s="148"/>
      <c r="H586" s="148"/>
      <c r="AE586" s="4"/>
      <c r="AF586" s="4"/>
    </row>
    <row r="587" spans="5:32" ht="12.75">
      <c r="E587" s="148"/>
      <c r="F587" s="148"/>
      <c r="G587" s="148"/>
      <c r="H587" s="148"/>
      <c r="AE587" s="4"/>
      <c r="AF587" s="4"/>
    </row>
    <row r="588" spans="5:32" ht="12.75">
      <c r="E588" s="148"/>
      <c r="F588" s="148"/>
      <c r="G588" s="148"/>
      <c r="H588" s="148"/>
      <c r="AE588" s="4"/>
      <c r="AF588" s="4"/>
    </row>
    <row r="589" spans="5:32" ht="12.75">
      <c r="E589" s="148"/>
      <c r="F589" s="148"/>
      <c r="G589" s="148"/>
      <c r="H589" s="148"/>
      <c r="AE589" s="4"/>
      <c r="AF589" s="4"/>
    </row>
    <row r="590" spans="5:32" ht="12.75">
      <c r="E590" s="148"/>
      <c r="F590" s="148"/>
      <c r="G590" s="148"/>
      <c r="H590" s="148"/>
      <c r="AE590" s="4"/>
      <c r="AF590" s="4"/>
    </row>
    <row r="591" spans="5:32" ht="12.75">
      <c r="E591" s="148"/>
      <c r="F591" s="148"/>
      <c r="G591" s="148"/>
      <c r="H591" s="148"/>
      <c r="AE591" s="4"/>
      <c r="AF591" s="4"/>
    </row>
    <row r="592" spans="5:32" ht="12.75">
      <c r="E592" s="148"/>
      <c r="F592" s="148"/>
      <c r="G592" s="148"/>
      <c r="H592" s="148"/>
      <c r="AE592" s="4"/>
      <c r="AF592" s="4"/>
    </row>
    <row r="593" spans="5:32" ht="12.75">
      <c r="E593" s="148"/>
      <c r="F593" s="148"/>
      <c r="G593" s="148"/>
      <c r="H593" s="148"/>
      <c r="AE593" s="4"/>
      <c r="AF593" s="4"/>
    </row>
    <row r="594" spans="5:32" ht="12.75">
      <c r="E594" s="148"/>
      <c r="F594" s="148"/>
      <c r="G594" s="148"/>
      <c r="H594" s="148"/>
      <c r="AE594" s="4"/>
      <c r="AF594" s="4"/>
    </row>
    <row r="595" spans="5:32" ht="12.75">
      <c r="E595" s="148"/>
      <c r="F595" s="148"/>
      <c r="G595" s="148"/>
      <c r="H595" s="148"/>
      <c r="AE595" s="4"/>
      <c r="AF595" s="4"/>
    </row>
    <row r="596" spans="5:32" ht="12.75">
      <c r="E596" s="148"/>
      <c r="F596" s="148"/>
      <c r="G596" s="148"/>
      <c r="H596" s="148"/>
      <c r="AE596" s="4"/>
      <c r="AF596" s="4"/>
    </row>
    <row r="597" spans="5:32" ht="12.75">
      <c r="E597" s="148"/>
      <c r="F597" s="148"/>
      <c r="G597" s="148"/>
      <c r="H597" s="148"/>
      <c r="AE597" s="4"/>
      <c r="AF597" s="4"/>
    </row>
    <row r="598" spans="5:32" ht="12.75">
      <c r="E598" s="148"/>
      <c r="F598" s="148"/>
      <c r="G598" s="148"/>
      <c r="H598" s="148"/>
      <c r="AE598" s="4"/>
      <c r="AF598" s="4"/>
    </row>
    <row r="599" spans="5:32" ht="12.75">
      <c r="E599" s="148"/>
      <c r="F599" s="148"/>
      <c r="G599" s="148"/>
      <c r="H599" s="148"/>
      <c r="AE599" s="4"/>
      <c r="AF599" s="4"/>
    </row>
    <row r="600" spans="5:32" ht="12.75">
      <c r="E600" s="148"/>
      <c r="F600" s="148"/>
      <c r="G600" s="148"/>
      <c r="H600" s="148"/>
      <c r="AE600" s="4"/>
      <c r="AF600" s="4"/>
    </row>
    <row r="601" spans="5:32" ht="12.75">
      <c r="E601" s="148"/>
      <c r="F601" s="148"/>
      <c r="G601" s="148"/>
      <c r="H601" s="148"/>
      <c r="AE601" s="4"/>
      <c r="AF601" s="4"/>
    </row>
    <row r="602" spans="5:32" ht="12.75">
      <c r="E602" s="148"/>
      <c r="F602" s="148"/>
      <c r="G602" s="148"/>
      <c r="H602" s="148"/>
      <c r="AE602" s="4"/>
      <c r="AF602" s="4"/>
    </row>
    <row r="603" spans="5:32" ht="12.75">
      <c r="E603" s="148"/>
      <c r="F603" s="148"/>
      <c r="G603" s="148"/>
      <c r="H603" s="148"/>
      <c r="AE603" s="4"/>
      <c r="AF603" s="4"/>
    </row>
    <row r="604" spans="5:32" ht="12.75">
      <c r="E604" s="148"/>
      <c r="F604" s="148"/>
      <c r="G604" s="148"/>
      <c r="H604" s="148"/>
      <c r="AE604" s="4"/>
      <c r="AF604" s="4"/>
    </row>
    <row r="605" spans="5:32" ht="12.75">
      <c r="E605" s="148"/>
      <c r="F605" s="148"/>
      <c r="G605" s="148"/>
      <c r="H605" s="148"/>
      <c r="AE605" s="4"/>
      <c r="AF605" s="4"/>
    </row>
    <row r="606" spans="5:32" ht="12.75">
      <c r="E606" s="148"/>
      <c r="F606" s="148"/>
      <c r="G606" s="148"/>
      <c r="H606" s="148"/>
      <c r="AE606" s="4"/>
      <c r="AF606" s="4"/>
    </row>
    <row r="607" spans="5:32" ht="12.75">
      <c r="E607" s="148"/>
      <c r="F607" s="148"/>
      <c r="G607" s="148"/>
      <c r="H607" s="148"/>
      <c r="AE607" s="4"/>
      <c r="AF607" s="4"/>
    </row>
    <row r="608" spans="5:32" ht="12.75">
      <c r="E608" s="148"/>
      <c r="F608" s="148"/>
      <c r="G608" s="148"/>
      <c r="H608" s="148"/>
      <c r="AE608" s="4"/>
      <c r="AF608" s="4"/>
    </row>
    <row r="609" spans="5:32" ht="12.75">
      <c r="E609" s="148"/>
      <c r="F609" s="148"/>
      <c r="G609" s="148"/>
      <c r="H609" s="148"/>
      <c r="AE609" s="4"/>
      <c r="AF609" s="4"/>
    </row>
    <row r="610" spans="5:32" ht="12.75">
      <c r="E610" s="148"/>
      <c r="F610" s="148"/>
      <c r="G610" s="148"/>
      <c r="H610" s="148"/>
      <c r="AE610" s="4"/>
      <c r="AF610" s="4"/>
    </row>
    <row r="611" spans="5:32" ht="12.75">
      <c r="E611" s="148"/>
      <c r="F611" s="148"/>
      <c r="G611" s="148"/>
      <c r="H611" s="148"/>
      <c r="AE611" s="4"/>
      <c r="AF611" s="4"/>
    </row>
    <row r="612" spans="5:32" ht="12.75">
      <c r="E612" s="148"/>
      <c r="F612" s="148"/>
      <c r="G612" s="148"/>
      <c r="H612" s="148"/>
      <c r="AE612" s="4"/>
      <c r="AF612" s="4"/>
    </row>
    <row r="613" spans="5:32" ht="12.75">
      <c r="E613" s="148"/>
      <c r="F613" s="148"/>
      <c r="G613" s="148"/>
      <c r="H613" s="148"/>
      <c r="AE613" s="4"/>
      <c r="AF613" s="4"/>
    </row>
    <row r="614" spans="5:32" ht="12.75">
      <c r="E614" s="148"/>
      <c r="F614" s="148"/>
      <c r="G614" s="148"/>
      <c r="H614" s="148"/>
      <c r="AE614" s="4"/>
      <c r="AF614" s="4"/>
    </row>
    <row r="615" spans="5:32" ht="12.75">
      <c r="E615" s="148"/>
      <c r="F615" s="148"/>
      <c r="G615" s="148"/>
      <c r="H615" s="148"/>
      <c r="AE615" s="4"/>
      <c r="AF615" s="4"/>
    </row>
    <row r="616" spans="5:32" ht="12.75">
      <c r="E616" s="148"/>
      <c r="F616" s="148"/>
      <c r="G616" s="148"/>
      <c r="H616" s="148"/>
      <c r="AE616" s="4"/>
      <c r="AF616" s="4"/>
    </row>
    <row r="617" spans="5:32" ht="12.75">
      <c r="E617" s="148"/>
      <c r="F617" s="148"/>
      <c r="G617" s="148"/>
      <c r="H617" s="148"/>
      <c r="AE617" s="4"/>
      <c r="AF617" s="4"/>
    </row>
    <row r="618" spans="5:32" ht="12.75">
      <c r="E618" s="148"/>
      <c r="F618" s="148"/>
      <c r="G618" s="148"/>
      <c r="H618" s="148"/>
      <c r="AE618" s="4"/>
      <c r="AF618" s="4"/>
    </row>
    <row r="619" spans="5:32" ht="12.75">
      <c r="E619" s="148"/>
      <c r="F619" s="148"/>
      <c r="G619" s="148"/>
      <c r="H619" s="148"/>
      <c r="AE619" s="4"/>
      <c r="AF619" s="4"/>
    </row>
    <row r="620" spans="5:32" ht="12.75">
      <c r="E620" s="148"/>
      <c r="F620" s="148"/>
      <c r="G620" s="148"/>
      <c r="H620" s="148"/>
      <c r="AE620" s="4"/>
      <c r="AF620" s="4"/>
    </row>
    <row r="621" spans="5:32" ht="12.75">
      <c r="E621" s="148"/>
      <c r="F621" s="148"/>
      <c r="G621" s="148"/>
      <c r="H621" s="148"/>
      <c r="AE621" s="4"/>
      <c r="AF621" s="4"/>
    </row>
    <row r="622" spans="5:32" ht="12.75">
      <c r="E622" s="148"/>
      <c r="F622" s="148"/>
      <c r="G622" s="148"/>
      <c r="H622" s="148"/>
      <c r="AE622" s="4"/>
      <c r="AF622" s="4"/>
    </row>
    <row r="623" spans="5:32" ht="12.75">
      <c r="E623" s="148"/>
      <c r="F623" s="148"/>
      <c r="G623" s="148"/>
      <c r="H623" s="148"/>
      <c r="AE623" s="4"/>
      <c r="AF623" s="4"/>
    </row>
    <row r="624" spans="5:32" ht="12.75">
      <c r="E624" s="148"/>
      <c r="F624" s="148"/>
      <c r="G624" s="148"/>
      <c r="H624" s="148"/>
      <c r="AE624" s="4"/>
      <c r="AF624" s="4"/>
    </row>
    <row r="625" spans="5:32" ht="12.75">
      <c r="E625" s="148"/>
      <c r="F625" s="148"/>
      <c r="G625" s="148"/>
      <c r="H625" s="148"/>
      <c r="AE625" s="4"/>
      <c r="AF625" s="4"/>
    </row>
    <row r="626" spans="5:32" ht="12.75">
      <c r="E626" s="148"/>
      <c r="F626" s="148"/>
      <c r="G626" s="148"/>
      <c r="H626" s="148"/>
      <c r="AE626" s="4"/>
      <c r="AF626" s="4"/>
    </row>
    <row r="627" spans="5:32" ht="12.75">
      <c r="E627" s="148"/>
      <c r="F627" s="148"/>
      <c r="G627" s="148"/>
      <c r="H627" s="148"/>
      <c r="AE627" s="4"/>
      <c r="AF627" s="4"/>
    </row>
    <row r="628" spans="5:32" ht="12.75">
      <c r="E628" s="148"/>
      <c r="F628" s="148"/>
      <c r="G628" s="148"/>
      <c r="H628" s="148"/>
      <c r="AE628" s="4"/>
      <c r="AF628" s="4"/>
    </row>
    <row r="629" spans="5:32" ht="12.75">
      <c r="E629" s="148"/>
      <c r="F629" s="148"/>
      <c r="G629" s="148"/>
      <c r="H629" s="148"/>
      <c r="AE629" s="4"/>
      <c r="AF629" s="4"/>
    </row>
    <row r="630" spans="5:32" ht="12.75">
      <c r="E630" s="148"/>
      <c r="F630" s="148"/>
      <c r="G630" s="148"/>
      <c r="H630" s="148"/>
      <c r="AE630" s="4"/>
      <c r="AF630" s="4"/>
    </row>
    <row r="631" spans="5:32" ht="12.75">
      <c r="E631" s="148"/>
      <c r="F631" s="148"/>
      <c r="G631" s="148"/>
      <c r="H631" s="148"/>
      <c r="AE631" s="4"/>
      <c r="AF631" s="4"/>
    </row>
    <row r="632" spans="5:32" ht="12.75">
      <c r="E632" s="148"/>
      <c r="F632" s="148"/>
      <c r="G632" s="148"/>
      <c r="H632" s="148"/>
      <c r="AE632" s="4"/>
      <c r="AF632" s="4"/>
    </row>
    <row r="633" spans="5:32" ht="12.75">
      <c r="E633" s="148"/>
      <c r="F633" s="148"/>
      <c r="G633" s="148"/>
      <c r="H633" s="148"/>
      <c r="AE633" s="4"/>
      <c r="AF633" s="4"/>
    </row>
    <row r="634" spans="5:32" ht="12.75">
      <c r="E634" s="148"/>
      <c r="F634" s="148"/>
      <c r="G634" s="148"/>
      <c r="H634" s="148"/>
      <c r="AE634" s="4"/>
      <c r="AF634" s="4"/>
    </row>
    <row r="635" spans="5:32" ht="12.75">
      <c r="E635" s="148"/>
      <c r="F635" s="148"/>
      <c r="G635" s="148"/>
      <c r="H635" s="148"/>
      <c r="AE635" s="4"/>
      <c r="AF635" s="4"/>
    </row>
    <row r="636" spans="5:32" ht="12.75">
      <c r="E636" s="148"/>
      <c r="F636" s="148"/>
      <c r="G636" s="148"/>
      <c r="H636" s="148"/>
      <c r="AE636" s="4"/>
      <c r="AF636" s="4"/>
    </row>
    <row r="637" spans="5:32" ht="12.75">
      <c r="E637" s="148"/>
      <c r="F637" s="148"/>
      <c r="G637" s="148"/>
      <c r="H637" s="148"/>
      <c r="AE637" s="4"/>
      <c r="AF637" s="4"/>
    </row>
    <row r="638" spans="5:32" ht="12.75">
      <c r="E638" s="148"/>
      <c r="F638" s="148"/>
      <c r="G638" s="148"/>
      <c r="H638" s="148"/>
      <c r="AE638" s="4"/>
      <c r="AF638" s="4"/>
    </row>
    <row r="639" spans="5:32" ht="12.75">
      <c r="E639" s="148"/>
      <c r="F639" s="148"/>
      <c r="G639" s="148"/>
      <c r="H639" s="148"/>
      <c r="AE639" s="4"/>
      <c r="AF639" s="4"/>
    </row>
    <row r="640" spans="5:32" ht="12.75">
      <c r="E640" s="148"/>
      <c r="F640" s="148"/>
      <c r="G640" s="148"/>
      <c r="H640" s="148"/>
      <c r="AE640" s="4"/>
      <c r="AF640" s="4"/>
    </row>
    <row r="641" spans="5:32" ht="12.75">
      <c r="E641" s="148"/>
      <c r="F641" s="148"/>
      <c r="G641" s="148"/>
      <c r="H641" s="148"/>
      <c r="AE641" s="4"/>
      <c r="AF641" s="4"/>
    </row>
    <row r="642" spans="5:32" ht="12.75">
      <c r="E642" s="148"/>
      <c r="F642" s="148"/>
      <c r="G642" s="148"/>
      <c r="H642" s="148"/>
      <c r="AE642" s="4"/>
      <c r="AF642" s="4"/>
    </row>
    <row r="643" spans="5:32" ht="12.75">
      <c r="E643" s="148"/>
      <c r="F643" s="148"/>
      <c r="G643" s="148"/>
      <c r="H643" s="148"/>
      <c r="AE643" s="4"/>
      <c r="AF643" s="4"/>
    </row>
    <row r="644" spans="5:32" ht="12.75">
      <c r="E644" s="148"/>
      <c r="F644" s="148"/>
      <c r="G644" s="148"/>
      <c r="H644" s="148"/>
      <c r="AE644" s="4"/>
      <c r="AF644" s="4"/>
    </row>
    <row r="645" spans="5:32" ht="12.75">
      <c r="E645" s="148"/>
      <c r="F645" s="148"/>
      <c r="G645" s="148"/>
      <c r="H645" s="148"/>
      <c r="AE645" s="4"/>
      <c r="AF645" s="4"/>
    </row>
    <row r="646" spans="5:32" ht="12.75">
      <c r="E646" s="148"/>
      <c r="F646" s="148"/>
      <c r="G646" s="148"/>
      <c r="H646" s="148"/>
      <c r="AE646" s="4"/>
      <c r="AF646" s="4"/>
    </row>
    <row r="647" spans="5:32" ht="12.75">
      <c r="E647" s="148"/>
      <c r="F647" s="148"/>
      <c r="G647" s="148"/>
      <c r="H647" s="148"/>
      <c r="AE647" s="4"/>
      <c r="AF647" s="4"/>
    </row>
    <row r="648" spans="5:32" ht="12.75">
      <c r="E648" s="148"/>
      <c r="F648" s="148"/>
      <c r="G648" s="148"/>
      <c r="H648" s="148"/>
      <c r="AE648" s="4"/>
      <c r="AF648" s="4"/>
    </row>
    <row r="649" spans="5:32" ht="12.75">
      <c r="E649" s="148"/>
      <c r="F649" s="148"/>
      <c r="G649" s="148"/>
      <c r="H649" s="148"/>
      <c r="AE649" s="4"/>
      <c r="AF649" s="4"/>
    </row>
    <row r="650" spans="5:32" ht="12.75">
      <c r="E650" s="148"/>
      <c r="F650" s="148"/>
      <c r="G650" s="148"/>
      <c r="H650" s="148"/>
      <c r="AE650" s="4"/>
      <c r="AF650" s="4"/>
    </row>
    <row r="651" spans="5:32" ht="12.75">
      <c r="E651" s="148"/>
      <c r="F651" s="148"/>
      <c r="G651" s="148"/>
      <c r="H651" s="148"/>
      <c r="AE651" s="4"/>
      <c r="AF651" s="4"/>
    </row>
    <row r="652" spans="5:32" ht="12.75">
      <c r="E652" s="148"/>
      <c r="F652" s="148"/>
      <c r="G652" s="148"/>
      <c r="H652" s="148"/>
      <c r="AE652" s="4"/>
      <c r="AF652" s="4"/>
    </row>
    <row r="653" spans="5:32" ht="12.75">
      <c r="E653" s="148"/>
      <c r="F653" s="148"/>
      <c r="G653" s="148"/>
      <c r="H653" s="148"/>
      <c r="AE653" s="4"/>
      <c r="AF653" s="4"/>
    </row>
    <row r="654" spans="5:32" ht="12.75">
      <c r="E654" s="148"/>
      <c r="F654" s="148"/>
      <c r="G654" s="148"/>
      <c r="H654" s="148"/>
      <c r="AE654" s="4"/>
      <c r="AF654" s="4"/>
    </row>
    <row r="655" spans="5:32" ht="12.75">
      <c r="E655" s="148"/>
      <c r="F655" s="148"/>
      <c r="G655" s="148"/>
      <c r="H655" s="148"/>
      <c r="AE655" s="4"/>
      <c r="AF655" s="4"/>
    </row>
    <row r="656" spans="5:32" ht="12.75">
      <c r="E656" s="148"/>
      <c r="F656" s="148"/>
      <c r="G656" s="148"/>
      <c r="H656" s="148"/>
      <c r="AE656" s="4"/>
      <c r="AF656" s="4"/>
    </row>
    <row r="657" spans="5:32" ht="12.75">
      <c r="E657" s="148"/>
      <c r="F657" s="148"/>
      <c r="G657" s="148"/>
      <c r="H657" s="148"/>
      <c r="AE657" s="4"/>
      <c r="AF657" s="4"/>
    </row>
    <row r="658" spans="5:32" ht="12.75">
      <c r="E658" s="148"/>
      <c r="F658" s="148"/>
      <c r="G658" s="148"/>
      <c r="H658" s="148"/>
      <c r="AE658" s="4"/>
      <c r="AF658" s="4"/>
    </row>
    <row r="659" spans="5:32" ht="12.75">
      <c r="E659" s="148"/>
      <c r="F659" s="148"/>
      <c r="G659" s="148"/>
      <c r="H659" s="148"/>
      <c r="AE659" s="4"/>
      <c r="AF659" s="4"/>
    </row>
    <row r="660" spans="5:32" ht="12.75">
      <c r="E660" s="148"/>
      <c r="F660" s="148"/>
      <c r="G660" s="148"/>
      <c r="H660" s="148"/>
      <c r="AE660" s="4"/>
      <c r="AF660" s="4"/>
    </row>
    <row r="661" spans="5:32" ht="12.75">
      <c r="E661" s="148"/>
      <c r="F661" s="148"/>
      <c r="G661" s="148"/>
      <c r="H661" s="148"/>
      <c r="AE661" s="4"/>
      <c r="AF661" s="4"/>
    </row>
    <row r="662" spans="5:32" ht="12.75">
      <c r="E662" s="148"/>
      <c r="F662" s="148"/>
      <c r="G662" s="148"/>
      <c r="H662" s="148"/>
      <c r="AE662" s="4"/>
      <c r="AF662" s="4"/>
    </row>
    <row r="663" spans="5:32" ht="12.75">
      <c r="E663" s="148"/>
      <c r="F663" s="148"/>
      <c r="G663" s="148"/>
      <c r="H663" s="148"/>
      <c r="AE663" s="4"/>
      <c r="AF663" s="4"/>
    </row>
    <row r="664" spans="5:32" ht="12.75">
      <c r="E664" s="148"/>
      <c r="F664" s="148"/>
      <c r="G664" s="148"/>
      <c r="H664" s="148"/>
      <c r="AE664" s="4"/>
      <c r="AF664" s="4"/>
    </row>
    <row r="665" spans="5:32" ht="12.75">
      <c r="E665" s="148"/>
      <c r="F665" s="148"/>
      <c r="G665" s="148"/>
      <c r="H665" s="148"/>
      <c r="AE665" s="4"/>
      <c r="AF665" s="4"/>
    </row>
    <row r="666" spans="5:32" ht="12.75">
      <c r="E666" s="148"/>
      <c r="F666" s="148"/>
      <c r="G666" s="148"/>
      <c r="H666" s="148"/>
      <c r="AE666" s="4"/>
      <c r="AF666" s="4"/>
    </row>
    <row r="667" spans="5:32" ht="12.75">
      <c r="E667" s="148"/>
      <c r="F667" s="148"/>
      <c r="G667" s="148"/>
      <c r="H667" s="148"/>
      <c r="AE667" s="4"/>
      <c r="AF667" s="4"/>
    </row>
    <row r="668" spans="5:32" ht="12.75">
      <c r="E668" s="148"/>
      <c r="F668" s="148"/>
      <c r="G668" s="148"/>
      <c r="H668" s="148"/>
      <c r="AE668" s="4"/>
      <c r="AF668" s="4"/>
    </row>
    <row r="669" spans="5:32" ht="12.75">
      <c r="E669" s="148"/>
      <c r="F669" s="148"/>
      <c r="G669" s="148"/>
      <c r="H669" s="148"/>
      <c r="AE669" s="4"/>
      <c r="AF669" s="4"/>
    </row>
    <row r="670" spans="5:32" ht="12.75">
      <c r="E670" s="148"/>
      <c r="F670" s="148"/>
      <c r="G670" s="148"/>
      <c r="H670" s="148"/>
      <c r="AE670" s="4"/>
      <c r="AF670" s="4"/>
    </row>
    <row r="671" spans="5:32" ht="12.75">
      <c r="E671" s="148"/>
      <c r="F671" s="148"/>
      <c r="G671" s="148"/>
      <c r="H671" s="148"/>
      <c r="AE671" s="4"/>
      <c r="AF671" s="4"/>
    </row>
    <row r="672" spans="5:32" ht="12.75">
      <c r="E672" s="148"/>
      <c r="F672" s="148"/>
      <c r="G672" s="148"/>
      <c r="H672" s="148"/>
      <c r="AE672" s="4"/>
      <c r="AF672" s="4"/>
    </row>
    <row r="673" spans="5:32" ht="12.75">
      <c r="E673" s="148"/>
      <c r="F673" s="148"/>
      <c r="G673" s="148"/>
      <c r="H673" s="148"/>
      <c r="AE673" s="4"/>
      <c r="AF673" s="4"/>
    </row>
    <row r="674" spans="5:32" ht="12.75">
      <c r="E674" s="148"/>
      <c r="F674" s="148"/>
      <c r="G674" s="148"/>
      <c r="H674" s="148"/>
      <c r="AE674" s="4"/>
      <c r="AF674" s="4"/>
    </row>
    <row r="675" spans="5:32" ht="12.75">
      <c r="E675" s="148"/>
      <c r="F675" s="148"/>
      <c r="G675" s="148"/>
      <c r="H675" s="148"/>
      <c r="AE675" s="4"/>
      <c r="AF675" s="4"/>
    </row>
    <row r="676" spans="5:32" ht="12.75">
      <c r="E676" s="148"/>
      <c r="F676" s="148"/>
      <c r="G676" s="148"/>
      <c r="H676" s="148"/>
      <c r="AE676" s="4"/>
      <c r="AF676" s="4"/>
    </row>
    <row r="677" spans="5:32" ht="12.75">
      <c r="E677" s="148"/>
      <c r="F677" s="148"/>
      <c r="G677" s="148"/>
      <c r="H677" s="148"/>
      <c r="AE677" s="4"/>
      <c r="AF677" s="4"/>
    </row>
    <row r="678" spans="5:32" ht="12.75">
      <c r="E678" s="148"/>
      <c r="F678" s="148"/>
      <c r="G678" s="148"/>
      <c r="H678" s="148"/>
      <c r="AE678" s="4"/>
      <c r="AF678" s="4"/>
    </row>
    <row r="679" spans="5:32" ht="12.75">
      <c r="E679" s="148"/>
      <c r="F679" s="148"/>
      <c r="G679" s="148"/>
      <c r="H679" s="148"/>
      <c r="AE679" s="4"/>
      <c r="AF679" s="4"/>
    </row>
    <row r="680" spans="5:32" ht="12.75">
      <c r="E680" s="148"/>
      <c r="F680" s="148"/>
      <c r="G680" s="148"/>
      <c r="H680" s="148"/>
      <c r="AE680" s="4"/>
      <c r="AF680" s="4"/>
    </row>
    <row r="681" spans="5:32" ht="12.75">
      <c r="E681" s="148"/>
      <c r="F681" s="148"/>
      <c r="G681" s="148"/>
      <c r="H681" s="148"/>
      <c r="AE681" s="4"/>
      <c r="AF681" s="4"/>
    </row>
    <row r="682" spans="5:32" ht="12.75">
      <c r="E682" s="148"/>
      <c r="F682" s="148"/>
      <c r="G682" s="148"/>
      <c r="H682" s="148"/>
      <c r="AE682" s="4"/>
      <c r="AF682" s="4"/>
    </row>
    <row r="683" spans="5:32" ht="12.75">
      <c r="E683" s="148"/>
      <c r="F683" s="148"/>
      <c r="G683" s="148"/>
      <c r="H683" s="148"/>
      <c r="AE683" s="4"/>
      <c r="AF683" s="4"/>
    </row>
    <row r="684" spans="5:32" ht="12.75">
      <c r="E684" s="148"/>
      <c r="F684" s="148"/>
      <c r="G684" s="148"/>
      <c r="H684" s="148"/>
      <c r="AE684" s="4"/>
      <c r="AF684" s="4"/>
    </row>
    <row r="685" spans="5:32" ht="12.75">
      <c r="E685" s="148"/>
      <c r="F685" s="148"/>
      <c r="G685" s="148"/>
      <c r="H685" s="148"/>
      <c r="AE685" s="4"/>
      <c r="AF685" s="4"/>
    </row>
    <row r="686" spans="5:32" ht="12.75">
      <c r="E686" s="148"/>
      <c r="F686" s="148"/>
      <c r="G686" s="148"/>
      <c r="H686" s="148"/>
      <c r="AE686" s="4"/>
      <c r="AF686" s="4"/>
    </row>
    <row r="687" spans="5:32" ht="12.75">
      <c r="E687" s="148"/>
      <c r="F687" s="148"/>
      <c r="G687" s="148"/>
      <c r="H687" s="148"/>
      <c r="AE687" s="4"/>
      <c r="AF687" s="4"/>
    </row>
    <row r="688" spans="5:32" ht="12.75">
      <c r="E688" s="148"/>
      <c r="F688" s="148"/>
      <c r="G688" s="148"/>
      <c r="H688" s="148"/>
      <c r="AE688" s="4"/>
      <c r="AF688" s="4"/>
    </row>
    <row r="689" spans="5:32" ht="12.75">
      <c r="E689" s="148"/>
      <c r="F689" s="148"/>
      <c r="G689" s="148"/>
      <c r="H689" s="148"/>
      <c r="AE689" s="4"/>
      <c r="AF689" s="4"/>
    </row>
    <row r="690" spans="5:32" ht="12.75">
      <c r="E690" s="148"/>
      <c r="F690" s="148"/>
      <c r="G690" s="148"/>
      <c r="H690" s="148"/>
      <c r="AE690" s="4"/>
      <c r="AF690" s="4"/>
    </row>
    <row r="691" spans="5:32" ht="12.75">
      <c r="E691" s="148"/>
      <c r="F691" s="148"/>
      <c r="G691" s="148"/>
      <c r="H691" s="148"/>
      <c r="AE691" s="4"/>
      <c r="AF691" s="4"/>
    </row>
    <row r="692" spans="5:32" ht="12.75">
      <c r="E692" s="148"/>
      <c r="F692" s="148"/>
      <c r="G692" s="148"/>
      <c r="H692" s="148"/>
      <c r="AE692" s="4"/>
      <c r="AF692" s="4"/>
    </row>
    <row r="693" spans="5:32" ht="12.75">
      <c r="E693" s="148"/>
      <c r="F693" s="148"/>
      <c r="G693" s="148"/>
      <c r="H693" s="148"/>
      <c r="AE693" s="4"/>
      <c r="AF693" s="4"/>
    </row>
    <row r="694" spans="5:32" ht="12.75">
      <c r="E694" s="148"/>
      <c r="F694" s="148"/>
      <c r="G694" s="148"/>
      <c r="H694" s="148"/>
      <c r="AE694" s="4"/>
      <c r="AF694" s="4"/>
    </row>
    <row r="695" spans="5:32" ht="12.75">
      <c r="E695" s="148"/>
      <c r="F695" s="148"/>
      <c r="G695" s="148"/>
      <c r="H695" s="148"/>
      <c r="AE695" s="4"/>
      <c r="AF695" s="4"/>
    </row>
    <row r="696" spans="5:32" ht="12.75">
      <c r="E696" s="148"/>
      <c r="F696" s="148"/>
      <c r="G696" s="148"/>
      <c r="H696" s="148"/>
      <c r="AE696" s="4"/>
      <c r="AF696" s="4"/>
    </row>
    <row r="697" spans="5:32" ht="12.75">
      <c r="E697" s="148"/>
      <c r="F697" s="148"/>
      <c r="G697" s="148"/>
      <c r="H697" s="148"/>
      <c r="AE697" s="4"/>
      <c r="AF697" s="4"/>
    </row>
    <row r="698" spans="5:32" ht="12.75">
      <c r="E698" s="148"/>
      <c r="F698" s="148"/>
      <c r="G698" s="148"/>
      <c r="H698" s="148"/>
      <c r="AE698" s="4"/>
      <c r="AF698" s="4"/>
    </row>
    <row r="699" spans="5:32" ht="12.75">
      <c r="E699" s="148"/>
      <c r="F699" s="148"/>
      <c r="G699" s="148"/>
      <c r="H699" s="148"/>
      <c r="AE699" s="4"/>
      <c r="AF699" s="4"/>
    </row>
    <row r="700" spans="5:32" ht="12.75">
      <c r="E700" s="148"/>
      <c r="F700" s="148"/>
      <c r="G700" s="148"/>
      <c r="H700" s="148"/>
      <c r="AE700" s="4"/>
      <c r="AF700" s="4"/>
    </row>
    <row r="701" spans="5:32" ht="12.75">
      <c r="E701" s="148"/>
      <c r="F701" s="148"/>
      <c r="G701" s="148"/>
      <c r="H701" s="148"/>
      <c r="AE701" s="4"/>
      <c r="AF701" s="4"/>
    </row>
    <row r="702" spans="5:32" ht="12.75">
      <c r="E702" s="148"/>
      <c r="F702" s="148"/>
      <c r="G702" s="148"/>
      <c r="H702" s="148"/>
      <c r="AE702" s="4"/>
      <c r="AF702" s="4"/>
    </row>
    <row r="703" spans="5:32" ht="12.75">
      <c r="E703" s="148"/>
      <c r="F703" s="148"/>
      <c r="G703" s="148"/>
      <c r="H703" s="148"/>
      <c r="AE703" s="4"/>
      <c r="AF703" s="4"/>
    </row>
    <row r="704" spans="5:32" ht="12.75">
      <c r="E704" s="148"/>
      <c r="F704" s="148"/>
      <c r="G704" s="148"/>
      <c r="H704" s="148"/>
      <c r="AE704" s="4"/>
      <c r="AF704" s="4"/>
    </row>
    <row r="705" spans="5:32" ht="12.75">
      <c r="E705" s="148"/>
      <c r="F705" s="148"/>
      <c r="G705" s="148"/>
      <c r="H705" s="148"/>
      <c r="AE705" s="4"/>
      <c r="AF705" s="4"/>
    </row>
    <row r="706" spans="5:32" ht="12.75">
      <c r="E706" s="148"/>
      <c r="F706" s="148"/>
      <c r="G706" s="148"/>
      <c r="H706" s="148"/>
      <c r="AE706" s="4"/>
      <c r="AF706" s="4"/>
    </row>
    <row r="707" spans="5:32" ht="12.75">
      <c r="E707" s="148"/>
      <c r="F707" s="148"/>
      <c r="G707" s="148"/>
      <c r="H707" s="148"/>
      <c r="AE707" s="4"/>
      <c r="AF707" s="4"/>
    </row>
    <row r="708" spans="5:32" ht="12.75">
      <c r="E708" s="148"/>
      <c r="F708" s="148"/>
      <c r="G708" s="148"/>
      <c r="H708" s="148"/>
      <c r="AE708" s="4"/>
      <c r="AF708" s="4"/>
    </row>
    <row r="709" spans="5:32" ht="12.75">
      <c r="E709" s="148"/>
      <c r="F709" s="148"/>
      <c r="G709" s="148"/>
      <c r="H709" s="148"/>
      <c r="AE709" s="4"/>
      <c r="AF709" s="4"/>
    </row>
    <row r="710" spans="5:32" ht="12.75">
      <c r="E710" s="148"/>
      <c r="F710" s="148"/>
      <c r="G710" s="148"/>
      <c r="H710" s="148"/>
      <c r="AE710" s="4"/>
      <c r="AF710" s="4"/>
    </row>
    <row r="711" spans="5:32" ht="12.75">
      <c r="E711" s="148"/>
      <c r="F711" s="148"/>
      <c r="G711" s="148"/>
      <c r="H711" s="148"/>
      <c r="AE711" s="4"/>
      <c r="AF711" s="4"/>
    </row>
    <row r="712" spans="5:32" ht="12.75">
      <c r="E712" s="148"/>
      <c r="F712" s="148"/>
      <c r="G712" s="148"/>
      <c r="H712" s="148"/>
      <c r="AE712" s="4"/>
      <c r="AF712" s="4"/>
    </row>
    <row r="713" spans="5:32" ht="12.75">
      <c r="E713" s="148"/>
      <c r="F713" s="148"/>
      <c r="G713" s="148"/>
      <c r="H713" s="148"/>
      <c r="AE713" s="4"/>
      <c r="AF713" s="4"/>
    </row>
    <row r="714" spans="5:32" ht="12.75">
      <c r="E714" s="148"/>
      <c r="F714" s="148"/>
      <c r="G714" s="148"/>
      <c r="H714" s="148"/>
      <c r="AE714" s="4"/>
      <c r="AF714" s="4"/>
    </row>
    <row r="715" spans="5:32" ht="12.75">
      <c r="E715" s="148"/>
      <c r="F715" s="148"/>
      <c r="G715" s="148"/>
      <c r="H715" s="148"/>
      <c r="AE715" s="4"/>
      <c r="AF715" s="4"/>
    </row>
    <row r="716" spans="5:32" ht="12.75">
      <c r="E716" s="148"/>
      <c r="F716" s="148"/>
      <c r="G716" s="148"/>
      <c r="H716" s="148"/>
      <c r="AE716" s="4"/>
      <c r="AF716" s="4"/>
    </row>
    <row r="717" spans="5:32" ht="12.75">
      <c r="E717" s="148"/>
      <c r="F717" s="148"/>
      <c r="G717" s="148"/>
      <c r="H717" s="148"/>
      <c r="AE717" s="4"/>
      <c r="AF717" s="4"/>
    </row>
    <row r="718" spans="5:32" ht="12.75">
      <c r="E718" s="148"/>
      <c r="F718" s="148"/>
      <c r="G718" s="148"/>
      <c r="H718" s="148"/>
      <c r="AE718" s="4"/>
      <c r="AF718" s="4"/>
    </row>
    <row r="719" spans="5:32" ht="12.75">
      <c r="E719" s="148"/>
      <c r="F719" s="148"/>
      <c r="G719" s="148"/>
      <c r="H719" s="148"/>
      <c r="AE719" s="4"/>
      <c r="AF719" s="4"/>
    </row>
    <row r="720" spans="5:32" ht="12.75">
      <c r="E720" s="148"/>
      <c r="F720" s="148"/>
      <c r="G720" s="148"/>
      <c r="H720" s="148"/>
      <c r="AE720" s="4"/>
      <c r="AF720" s="4"/>
    </row>
    <row r="721" spans="5:32" ht="12.75">
      <c r="E721" s="148"/>
      <c r="F721" s="148"/>
      <c r="G721" s="148"/>
      <c r="H721" s="148"/>
      <c r="AE721" s="4"/>
      <c r="AF721" s="4"/>
    </row>
    <row r="722" spans="5:32" ht="12.75">
      <c r="E722" s="148"/>
      <c r="F722" s="148"/>
      <c r="G722" s="148"/>
      <c r="H722" s="148"/>
      <c r="AE722" s="4"/>
      <c r="AF722" s="4"/>
    </row>
    <row r="723" spans="5:32" ht="12.75">
      <c r="E723" s="148"/>
      <c r="F723" s="148"/>
      <c r="G723" s="148"/>
      <c r="H723" s="148"/>
      <c r="AE723" s="4"/>
      <c r="AF723" s="4"/>
    </row>
    <row r="724" spans="5:32" ht="12.75">
      <c r="E724" s="148"/>
      <c r="F724" s="148"/>
      <c r="G724" s="148"/>
      <c r="H724" s="148"/>
      <c r="AE724" s="4"/>
      <c r="AF724" s="4"/>
    </row>
    <row r="725" spans="5:32" ht="12.75">
      <c r="E725" s="148"/>
      <c r="F725" s="148"/>
      <c r="G725" s="148"/>
      <c r="H725" s="148"/>
      <c r="AE725" s="4"/>
      <c r="AF725" s="4"/>
    </row>
    <row r="726" spans="5:32" ht="12.75">
      <c r="E726" s="148"/>
      <c r="F726" s="148"/>
      <c r="G726" s="148"/>
      <c r="H726" s="148"/>
      <c r="AE726" s="4"/>
      <c r="AF726" s="4"/>
    </row>
    <row r="727" spans="5:32" ht="12.75">
      <c r="E727" s="148"/>
      <c r="F727" s="148"/>
      <c r="G727" s="148"/>
      <c r="H727" s="148"/>
      <c r="AE727" s="4"/>
      <c r="AF727" s="4"/>
    </row>
    <row r="728" spans="5:32" ht="12.75">
      <c r="E728" s="148"/>
      <c r="F728" s="148"/>
      <c r="G728" s="148"/>
      <c r="H728" s="148"/>
      <c r="AE728" s="4"/>
      <c r="AF728" s="4"/>
    </row>
    <row r="729" spans="5:32" ht="12.75">
      <c r="E729" s="148"/>
      <c r="F729" s="148"/>
      <c r="G729" s="148"/>
      <c r="H729" s="148"/>
      <c r="AE729" s="4"/>
      <c r="AF729" s="4"/>
    </row>
    <row r="730" spans="5:32" ht="12.75">
      <c r="E730" s="148"/>
      <c r="F730" s="148"/>
      <c r="G730" s="148"/>
      <c r="H730" s="148"/>
      <c r="AE730" s="4"/>
      <c r="AF730" s="4"/>
    </row>
    <row r="731" spans="5:32" ht="12.75">
      <c r="E731" s="148"/>
      <c r="F731" s="148"/>
      <c r="G731" s="148"/>
      <c r="H731" s="148"/>
      <c r="AE731" s="4"/>
      <c r="AF731" s="4"/>
    </row>
    <row r="732" spans="5:32" ht="12.75">
      <c r="E732" s="148"/>
      <c r="F732" s="148"/>
      <c r="G732" s="148"/>
      <c r="H732" s="148"/>
      <c r="AE732" s="4"/>
      <c r="AF732" s="4"/>
    </row>
    <row r="733" spans="5:32" ht="12.75">
      <c r="E733" s="148"/>
      <c r="F733" s="148"/>
      <c r="G733" s="148"/>
      <c r="H733" s="148"/>
      <c r="AE733" s="4"/>
      <c r="AF733" s="4"/>
    </row>
    <row r="734" spans="5:32" ht="12.75">
      <c r="E734" s="148"/>
      <c r="F734" s="148"/>
      <c r="G734" s="148"/>
      <c r="H734" s="148"/>
      <c r="AE734" s="4"/>
      <c r="AF734" s="4"/>
    </row>
    <row r="735" spans="5:32" ht="12.75">
      <c r="E735" s="148"/>
      <c r="F735" s="148"/>
      <c r="G735" s="148"/>
      <c r="H735" s="148"/>
      <c r="AE735" s="4"/>
      <c r="AF735" s="4"/>
    </row>
    <row r="736" spans="5:32" ht="12.75">
      <c r="E736" s="148"/>
      <c r="F736" s="148"/>
      <c r="G736" s="148"/>
      <c r="H736" s="148"/>
      <c r="AE736" s="4"/>
      <c r="AF736" s="4"/>
    </row>
    <row r="737" spans="5:32" ht="12.75">
      <c r="E737" s="148"/>
      <c r="F737" s="148"/>
      <c r="G737" s="148"/>
      <c r="H737" s="148"/>
      <c r="AE737" s="4"/>
      <c r="AF737" s="4"/>
    </row>
    <row r="738" spans="5:32" ht="12.75">
      <c r="E738" s="148"/>
      <c r="F738" s="148"/>
      <c r="G738" s="148"/>
      <c r="H738" s="148"/>
      <c r="AE738" s="4"/>
      <c r="AF738" s="4"/>
    </row>
    <row r="739" spans="5:32" ht="12.75">
      <c r="E739" s="148"/>
      <c r="F739" s="148"/>
      <c r="G739" s="148"/>
      <c r="H739" s="148"/>
      <c r="AE739" s="4"/>
      <c r="AF739" s="4"/>
    </row>
    <row r="740" spans="5:32" ht="12.75">
      <c r="E740" s="148"/>
      <c r="F740" s="148"/>
      <c r="G740" s="148"/>
      <c r="H740" s="148"/>
      <c r="AE740" s="4"/>
      <c r="AF740" s="4"/>
    </row>
    <row r="741" spans="5:32" ht="12.75">
      <c r="E741" s="148"/>
      <c r="F741" s="148"/>
      <c r="G741" s="148"/>
      <c r="H741" s="148"/>
      <c r="AE741" s="4"/>
      <c r="AF741" s="4"/>
    </row>
    <row r="742" spans="5:32" ht="12.75">
      <c r="E742" s="148"/>
      <c r="F742" s="148"/>
      <c r="G742" s="148"/>
      <c r="H742" s="148"/>
      <c r="AE742" s="4"/>
      <c r="AF742" s="4"/>
    </row>
    <row r="743" spans="5:32" ht="12.75">
      <c r="E743" s="148"/>
      <c r="F743" s="148"/>
      <c r="G743" s="148"/>
      <c r="H743" s="148"/>
      <c r="AE743" s="4"/>
      <c r="AF743" s="4"/>
    </row>
    <row r="744" spans="5:32" ht="12.75">
      <c r="E744" s="148"/>
      <c r="F744" s="148"/>
      <c r="G744" s="148"/>
      <c r="H744" s="148"/>
      <c r="AE744" s="4"/>
      <c r="AF744" s="4"/>
    </row>
    <row r="745" spans="5:32" ht="12.75">
      <c r="E745" s="148"/>
      <c r="F745" s="148"/>
      <c r="G745" s="148"/>
      <c r="H745" s="148"/>
      <c r="AE745" s="4"/>
      <c r="AF745" s="4"/>
    </row>
    <row r="746" spans="5:32" ht="12.75">
      <c r="E746" s="148"/>
      <c r="F746" s="148"/>
      <c r="G746" s="148"/>
      <c r="H746" s="148"/>
      <c r="AE746" s="4"/>
      <c r="AF746" s="4"/>
    </row>
    <row r="747" spans="5:32" ht="12.75">
      <c r="E747" s="148"/>
      <c r="F747" s="148"/>
      <c r="G747" s="148"/>
      <c r="H747" s="148"/>
      <c r="AE747" s="4"/>
      <c r="AF747" s="4"/>
    </row>
    <row r="748" spans="5:32" ht="12.75">
      <c r="E748" s="148"/>
      <c r="F748" s="148"/>
      <c r="G748" s="148"/>
      <c r="H748" s="148"/>
      <c r="AE748" s="4"/>
      <c r="AF748" s="4"/>
    </row>
    <row r="749" spans="5:32" ht="12.75">
      <c r="E749" s="148"/>
      <c r="F749" s="148"/>
      <c r="G749" s="148"/>
      <c r="H749" s="148"/>
      <c r="AE749" s="4"/>
      <c r="AF749" s="4"/>
    </row>
    <row r="750" spans="5:32" ht="12.75">
      <c r="E750" s="148"/>
      <c r="F750" s="148"/>
      <c r="G750" s="148"/>
      <c r="H750" s="148"/>
      <c r="AE750" s="4"/>
      <c r="AF750" s="4"/>
    </row>
    <row r="751" spans="5:32" ht="12.75">
      <c r="E751" s="148"/>
      <c r="F751" s="148"/>
      <c r="G751" s="148"/>
      <c r="H751" s="148"/>
      <c r="AE751" s="4"/>
      <c r="AF751" s="4"/>
    </row>
    <row r="752" spans="5:32" ht="12.75">
      <c r="E752" s="148"/>
      <c r="F752" s="148"/>
      <c r="G752" s="148"/>
      <c r="H752" s="148"/>
      <c r="AE752" s="4"/>
      <c r="AF752" s="4"/>
    </row>
    <row r="753" spans="5:32" ht="12.75">
      <c r="E753" s="148"/>
      <c r="F753" s="148"/>
      <c r="G753" s="148"/>
      <c r="H753" s="148"/>
      <c r="AE753" s="4"/>
      <c r="AF753" s="4"/>
    </row>
    <row r="754" spans="5:32" ht="12.75">
      <c r="E754" s="148"/>
      <c r="F754" s="148"/>
      <c r="G754" s="148"/>
      <c r="H754" s="148"/>
      <c r="AE754" s="4"/>
      <c r="AF754" s="4"/>
    </row>
    <row r="755" spans="5:32" ht="12.75">
      <c r="E755" s="148"/>
      <c r="F755" s="148"/>
      <c r="G755" s="148"/>
      <c r="H755" s="148"/>
      <c r="AE755" s="4"/>
      <c r="AF755" s="4"/>
    </row>
    <row r="756" spans="5:32" ht="12.75">
      <c r="E756" s="148"/>
      <c r="F756" s="148"/>
      <c r="G756" s="148"/>
      <c r="H756" s="148"/>
      <c r="AE756" s="4"/>
      <c r="AF756" s="4"/>
    </row>
    <row r="757" spans="5:32" ht="12.75">
      <c r="E757" s="148"/>
      <c r="F757" s="148"/>
      <c r="G757" s="148"/>
      <c r="H757" s="148"/>
      <c r="AE757" s="4"/>
      <c r="AF757" s="4"/>
    </row>
    <row r="758" spans="5:32" ht="12.75">
      <c r="E758" s="148"/>
      <c r="F758" s="148"/>
      <c r="G758" s="148"/>
      <c r="H758" s="148"/>
      <c r="AE758" s="4"/>
      <c r="AF758" s="4"/>
    </row>
    <row r="759" spans="5:32" ht="12.75">
      <c r="E759" s="148"/>
      <c r="F759" s="148"/>
      <c r="G759" s="148"/>
      <c r="H759" s="148"/>
      <c r="AE759" s="4"/>
      <c r="AF759" s="4"/>
    </row>
    <row r="760" spans="5:32" ht="12.75">
      <c r="E760" s="148"/>
      <c r="F760" s="148"/>
      <c r="G760" s="148"/>
      <c r="H760" s="148"/>
      <c r="AE760" s="4"/>
      <c r="AF760" s="4"/>
    </row>
    <row r="761" spans="5:32" ht="12.75">
      <c r="E761" s="148"/>
      <c r="F761" s="148"/>
      <c r="G761" s="148"/>
      <c r="H761" s="148"/>
      <c r="AE761" s="4"/>
      <c r="AF761" s="4"/>
    </row>
    <row r="762" spans="5:32" ht="12.75">
      <c r="E762" s="148"/>
      <c r="F762" s="148"/>
      <c r="G762" s="148"/>
      <c r="H762" s="148"/>
      <c r="AE762" s="4"/>
      <c r="AF762" s="4"/>
    </row>
    <row r="763" spans="5:32" ht="12.75">
      <c r="E763" s="148"/>
      <c r="F763" s="148"/>
      <c r="G763" s="148"/>
      <c r="H763" s="148"/>
      <c r="AE763" s="4"/>
      <c r="AF763" s="4"/>
    </row>
    <row r="764" spans="5:32" ht="12.75">
      <c r="E764" s="148"/>
      <c r="F764" s="148"/>
      <c r="G764" s="148"/>
      <c r="H764" s="148"/>
      <c r="AE764" s="4"/>
      <c r="AF764" s="4"/>
    </row>
    <row r="765" spans="5:32" ht="12.75">
      <c r="E765" s="148"/>
      <c r="F765" s="148"/>
      <c r="G765" s="148"/>
      <c r="H765" s="148"/>
      <c r="AE765" s="4"/>
      <c r="AF765" s="4"/>
    </row>
    <row r="766" spans="5:32" ht="12.75">
      <c r="E766" s="148"/>
      <c r="F766" s="148"/>
      <c r="G766" s="148"/>
      <c r="H766" s="148"/>
      <c r="AE766" s="4"/>
      <c r="AF766" s="4"/>
    </row>
    <row r="767" spans="5:32" ht="12.75">
      <c r="E767" s="148"/>
      <c r="F767" s="148"/>
      <c r="G767" s="148"/>
      <c r="H767" s="148"/>
      <c r="AE767" s="4"/>
      <c r="AF767" s="4"/>
    </row>
    <row r="768" spans="5:32" ht="12.75">
      <c r="E768" s="148"/>
      <c r="F768" s="148"/>
      <c r="G768" s="148"/>
      <c r="H768" s="148"/>
      <c r="AE768" s="4"/>
      <c r="AF768" s="4"/>
    </row>
    <row r="769" spans="5:32" ht="12.75">
      <c r="E769" s="148"/>
      <c r="F769" s="148"/>
      <c r="G769" s="148"/>
      <c r="H769" s="148"/>
      <c r="AE769" s="4"/>
      <c r="AF769" s="4"/>
    </row>
    <row r="770" spans="5:32" ht="12.75">
      <c r="E770" s="148"/>
      <c r="F770" s="148"/>
      <c r="G770" s="148"/>
      <c r="H770" s="148"/>
      <c r="AE770" s="4"/>
      <c r="AF770" s="4"/>
    </row>
    <row r="771" spans="5:32" ht="12.75">
      <c r="E771" s="148"/>
      <c r="F771" s="148"/>
      <c r="G771" s="148"/>
      <c r="H771" s="148"/>
      <c r="AE771" s="4"/>
      <c r="AF771" s="4"/>
    </row>
    <row r="772" spans="5:32" ht="12.75">
      <c r="E772" s="148"/>
      <c r="F772" s="148"/>
      <c r="G772" s="148"/>
      <c r="H772" s="148"/>
      <c r="AE772" s="4"/>
      <c r="AF772" s="4"/>
    </row>
    <row r="773" spans="5:32" ht="12.75">
      <c r="E773" s="148"/>
      <c r="F773" s="148"/>
      <c r="G773" s="148"/>
      <c r="H773" s="148"/>
      <c r="AE773" s="4"/>
      <c r="AF773" s="4"/>
    </row>
    <row r="774" spans="5:32" ht="12.75">
      <c r="E774" s="148"/>
      <c r="F774" s="148"/>
      <c r="G774" s="148"/>
      <c r="H774" s="148"/>
      <c r="AE774" s="4"/>
      <c r="AF774" s="4"/>
    </row>
    <row r="775" spans="5:32" ht="12.75">
      <c r="E775" s="148"/>
      <c r="F775" s="148"/>
      <c r="G775" s="148"/>
      <c r="H775" s="148"/>
      <c r="AE775" s="4"/>
      <c r="AF775" s="4"/>
    </row>
    <row r="776" spans="5:32" ht="12.75">
      <c r="E776" s="148"/>
      <c r="F776" s="148"/>
      <c r="G776" s="148"/>
      <c r="H776" s="148"/>
      <c r="AE776" s="4"/>
      <c r="AF776" s="4"/>
    </row>
    <row r="777" spans="5:32" ht="12.75">
      <c r="E777" s="148"/>
      <c r="F777" s="148"/>
      <c r="G777" s="148"/>
      <c r="H777" s="148"/>
      <c r="AE777" s="4"/>
      <c r="AF777" s="4"/>
    </row>
    <row r="778" spans="5:32" ht="12.75">
      <c r="E778" s="148"/>
      <c r="F778" s="148"/>
      <c r="G778" s="148"/>
      <c r="H778" s="148"/>
      <c r="AE778" s="4"/>
      <c r="AF778" s="4"/>
    </row>
    <row r="779" spans="5:32" ht="12.75">
      <c r="E779" s="148"/>
      <c r="F779" s="148"/>
      <c r="G779" s="148"/>
      <c r="H779" s="148"/>
      <c r="AE779" s="4"/>
      <c r="AF779" s="4"/>
    </row>
    <row r="780" spans="5:32" ht="12.75">
      <c r="E780" s="148"/>
      <c r="F780" s="148"/>
      <c r="G780" s="148"/>
      <c r="H780" s="148"/>
      <c r="AE780" s="4"/>
      <c r="AF780" s="4"/>
    </row>
    <row r="781" spans="5:32" ht="12.75">
      <c r="E781" s="148"/>
      <c r="F781" s="148"/>
      <c r="G781" s="148"/>
      <c r="H781" s="148"/>
      <c r="AE781" s="4"/>
      <c r="AF781" s="4"/>
    </row>
    <row r="782" spans="5:32" ht="12.75">
      <c r="E782" s="148"/>
      <c r="F782" s="148"/>
      <c r="G782" s="148"/>
      <c r="H782" s="148"/>
      <c r="AE782" s="4"/>
      <c r="AF782" s="4"/>
    </row>
    <row r="783" spans="5:32" ht="12.75">
      <c r="E783" s="148"/>
      <c r="F783" s="148"/>
      <c r="G783" s="148"/>
      <c r="H783" s="148"/>
      <c r="AE783" s="4"/>
      <c r="AF783" s="4"/>
    </row>
    <row r="784" spans="5:32" ht="12.75">
      <c r="E784" s="148"/>
      <c r="F784" s="148"/>
      <c r="G784" s="148"/>
      <c r="H784" s="148"/>
      <c r="AE784" s="4"/>
      <c r="AF784" s="4"/>
    </row>
    <row r="785" spans="5:32" ht="12.75">
      <c r="E785" s="148"/>
      <c r="F785" s="148"/>
      <c r="G785" s="148"/>
      <c r="H785" s="148"/>
      <c r="AE785" s="4"/>
      <c r="AF785" s="4"/>
    </row>
    <row r="786" spans="5:32" ht="12.75">
      <c r="E786" s="148"/>
      <c r="F786" s="148"/>
      <c r="G786" s="148"/>
      <c r="H786" s="148"/>
      <c r="AE786" s="4"/>
      <c r="AF786" s="4"/>
    </row>
    <row r="787" spans="5:32" ht="12.75">
      <c r="E787" s="148"/>
      <c r="F787" s="148"/>
      <c r="G787" s="148"/>
      <c r="H787" s="148"/>
      <c r="AE787" s="4"/>
      <c r="AF787" s="4"/>
    </row>
    <row r="788" spans="5:32" ht="12.75">
      <c r="E788" s="148"/>
      <c r="F788" s="148"/>
      <c r="G788" s="148"/>
      <c r="H788" s="148"/>
      <c r="AE788" s="4"/>
      <c r="AF788" s="4"/>
    </row>
    <row r="789" spans="5:32" ht="12.75">
      <c r="E789" s="148"/>
      <c r="F789" s="148"/>
      <c r="G789" s="148"/>
      <c r="H789" s="148"/>
      <c r="AE789" s="4"/>
      <c r="AF789" s="4"/>
    </row>
    <row r="790" spans="5:32" ht="12.75">
      <c r="E790" s="148"/>
      <c r="F790" s="148"/>
      <c r="G790" s="148"/>
      <c r="H790" s="148"/>
      <c r="AE790" s="4"/>
      <c r="AF790" s="4"/>
    </row>
    <row r="791" spans="5:32" ht="12.75">
      <c r="E791" s="148"/>
      <c r="F791" s="148"/>
      <c r="G791" s="148"/>
      <c r="H791" s="148"/>
      <c r="AE791" s="4"/>
      <c r="AF791" s="4"/>
    </row>
    <row r="792" spans="5:32" ht="12.75">
      <c r="E792" s="148"/>
      <c r="F792" s="148"/>
      <c r="G792" s="148"/>
      <c r="H792" s="148"/>
      <c r="AE792" s="4"/>
      <c r="AF792" s="4"/>
    </row>
    <row r="793" spans="5:32" ht="12.75">
      <c r="E793" s="148"/>
      <c r="F793" s="148"/>
      <c r="G793" s="148"/>
      <c r="H793" s="148"/>
      <c r="AE793" s="4"/>
      <c r="AF793" s="4"/>
    </row>
    <row r="794" spans="5:32" ht="12.75">
      <c r="E794" s="148"/>
      <c r="F794" s="148"/>
      <c r="G794" s="148"/>
      <c r="H794" s="148"/>
      <c r="AE794" s="4"/>
      <c r="AF794" s="4"/>
    </row>
    <row r="795" spans="5:32" ht="12.75">
      <c r="E795" s="148"/>
      <c r="F795" s="148"/>
      <c r="G795" s="148"/>
      <c r="H795" s="148"/>
      <c r="AE795" s="4"/>
      <c r="AF795" s="4"/>
    </row>
    <row r="796" spans="5:32" ht="12.75">
      <c r="E796" s="148"/>
      <c r="F796" s="148"/>
      <c r="G796" s="148"/>
      <c r="H796" s="148"/>
      <c r="AE796" s="4"/>
      <c r="AF796" s="4"/>
    </row>
    <row r="797" spans="5:32" ht="12.75">
      <c r="E797" s="148"/>
      <c r="F797" s="148"/>
      <c r="G797" s="148"/>
      <c r="H797" s="148"/>
      <c r="AE797" s="4"/>
      <c r="AF797" s="4"/>
    </row>
    <row r="798" spans="5:32" ht="12.75">
      <c r="E798" s="148"/>
      <c r="F798" s="148"/>
      <c r="G798" s="148"/>
      <c r="H798" s="148"/>
      <c r="AE798" s="4"/>
      <c r="AF798" s="4"/>
    </row>
    <row r="799" spans="5:32" ht="12.75">
      <c r="E799" s="148"/>
      <c r="F799" s="148"/>
      <c r="G799" s="148"/>
      <c r="H799" s="148"/>
      <c r="AE799" s="4"/>
      <c r="AF799" s="4"/>
    </row>
    <row r="800" spans="5:32" ht="12.75">
      <c r="E800" s="148"/>
      <c r="F800" s="148"/>
      <c r="G800" s="148"/>
      <c r="H800" s="148"/>
      <c r="AE800" s="4"/>
      <c r="AF800" s="4"/>
    </row>
    <row r="801" spans="5:32" ht="12.75">
      <c r="E801" s="148"/>
      <c r="F801" s="148"/>
      <c r="G801" s="148"/>
      <c r="H801" s="148"/>
      <c r="AE801" s="4"/>
      <c r="AF801" s="4"/>
    </row>
    <row r="802" spans="5:32" ht="12.75">
      <c r="E802" s="148"/>
      <c r="F802" s="148"/>
      <c r="G802" s="148"/>
      <c r="H802" s="148"/>
      <c r="AE802" s="4"/>
      <c r="AF802" s="4"/>
    </row>
    <row r="803" spans="5:32" ht="12.75">
      <c r="E803" s="148"/>
      <c r="F803" s="148"/>
      <c r="G803" s="148"/>
      <c r="H803" s="148"/>
      <c r="AE803" s="4"/>
      <c r="AF803" s="4"/>
    </row>
    <row r="804" spans="5:32" ht="12.75">
      <c r="E804" s="148"/>
      <c r="F804" s="148"/>
      <c r="G804" s="148"/>
      <c r="H804" s="148"/>
      <c r="AE804" s="4"/>
      <c r="AF804" s="4"/>
    </row>
    <row r="805" spans="5:32" ht="12.75">
      <c r="E805" s="148"/>
      <c r="F805" s="148"/>
      <c r="G805" s="148"/>
      <c r="H805" s="148"/>
      <c r="AE805" s="4"/>
      <c r="AF805" s="4"/>
    </row>
    <row r="806" spans="5:32" ht="12.75">
      <c r="E806" s="148"/>
      <c r="F806" s="148"/>
      <c r="G806" s="148"/>
      <c r="H806" s="148"/>
      <c r="AE806" s="4"/>
      <c r="AF806" s="4"/>
    </row>
    <row r="807" spans="5:32" ht="12.75">
      <c r="E807" s="148"/>
      <c r="F807" s="148"/>
      <c r="G807" s="148"/>
      <c r="H807" s="148"/>
      <c r="AE807" s="4"/>
      <c r="AF807" s="4"/>
    </row>
    <row r="808" spans="5:32" ht="12.75">
      <c r="E808" s="148"/>
      <c r="F808" s="148"/>
      <c r="G808" s="148"/>
      <c r="H808" s="148"/>
      <c r="AE808" s="4"/>
      <c r="AF808" s="4"/>
    </row>
    <row r="809" spans="5:32" ht="12.75">
      <c r="E809" s="148"/>
      <c r="F809" s="148"/>
      <c r="G809" s="148"/>
      <c r="H809" s="148"/>
      <c r="AE809" s="4"/>
      <c r="AF809" s="4"/>
    </row>
    <row r="810" spans="5:32" ht="12.75">
      <c r="E810" s="148"/>
      <c r="F810" s="148"/>
      <c r="G810" s="148"/>
      <c r="H810" s="148"/>
      <c r="AE810" s="4"/>
      <c r="AF810" s="4"/>
    </row>
    <row r="811" spans="5:32" ht="12.75">
      <c r="E811" s="148"/>
      <c r="F811" s="148"/>
      <c r="G811" s="148"/>
      <c r="H811" s="148"/>
      <c r="AE811" s="4"/>
      <c r="AF811" s="4"/>
    </row>
    <row r="812" spans="5:32" ht="12.75">
      <c r="E812" s="148"/>
      <c r="F812" s="148"/>
      <c r="G812" s="148"/>
      <c r="H812" s="148"/>
      <c r="AE812" s="4"/>
      <c r="AF812" s="4"/>
    </row>
    <row r="813" spans="5:32" ht="12.75">
      <c r="E813" s="148"/>
      <c r="F813" s="148"/>
      <c r="G813" s="148"/>
      <c r="H813" s="148"/>
      <c r="AE813" s="4"/>
      <c r="AF813" s="4"/>
    </row>
    <row r="814" spans="5:32" ht="12.75">
      <c r="E814" s="148"/>
      <c r="F814" s="148"/>
      <c r="G814" s="148"/>
      <c r="H814" s="148"/>
      <c r="AE814" s="4"/>
      <c r="AF814" s="4"/>
    </row>
    <row r="815" spans="5:32" ht="12.75">
      <c r="E815" s="148"/>
      <c r="F815" s="148"/>
      <c r="G815" s="148"/>
      <c r="H815" s="148"/>
      <c r="AE815" s="4"/>
      <c r="AF815" s="4"/>
    </row>
    <row r="816" spans="5:32" ht="12.75">
      <c r="E816" s="148"/>
      <c r="F816" s="148"/>
      <c r="G816" s="148"/>
      <c r="H816" s="148"/>
      <c r="AE816" s="4"/>
      <c r="AF816" s="4"/>
    </row>
    <row r="817" spans="5:32" ht="12.75">
      <c r="E817" s="148"/>
      <c r="F817" s="148"/>
      <c r="G817" s="148"/>
      <c r="H817" s="148"/>
      <c r="AE817" s="4"/>
      <c r="AF817" s="4"/>
    </row>
    <row r="818" spans="5:32" ht="12.75">
      <c r="E818" s="148"/>
      <c r="F818" s="148"/>
      <c r="G818" s="148"/>
      <c r="H818" s="148"/>
      <c r="AE818" s="4"/>
      <c r="AF818" s="4"/>
    </row>
    <row r="819" spans="5:32" ht="12.75">
      <c r="E819" s="148"/>
      <c r="F819" s="148"/>
      <c r="G819" s="148"/>
      <c r="H819" s="148"/>
      <c r="AE819" s="4"/>
      <c r="AF819" s="4"/>
    </row>
    <row r="820" spans="5:32" ht="12.75">
      <c r="E820" s="148"/>
      <c r="F820" s="148"/>
      <c r="G820" s="148"/>
      <c r="H820" s="148"/>
      <c r="AE820" s="4"/>
      <c r="AF820" s="4"/>
    </row>
    <row r="821" spans="5:32" ht="12.75">
      <c r="E821" s="148"/>
      <c r="F821" s="148"/>
      <c r="G821" s="148"/>
      <c r="H821" s="148"/>
      <c r="AE821" s="4"/>
      <c r="AF821" s="4"/>
    </row>
    <row r="822" spans="5:32" ht="12.75">
      <c r="E822" s="148"/>
      <c r="F822" s="148"/>
      <c r="G822" s="148"/>
      <c r="H822" s="148"/>
      <c r="AE822" s="4"/>
      <c r="AF822" s="4"/>
    </row>
    <row r="823" spans="5:32" ht="12.75">
      <c r="E823" s="148"/>
      <c r="F823" s="148"/>
      <c r="G823" s="148"/>
      <c r="H823" s="148"/>
      <c r="AE823" s="4"/>
      <c r="AF823" s="4"/>
    </row>
    <row r="824" spans="5:32" ht="12.75">
      <c r="E824" s="148"/>
      <c r="F824" s="148"/>
      <c r="G824" s="148"/>
      <c r="H824" s="148"/>
      <c r="AE824" s="4"/>
      <c r="AF824" s="4"/>
    </row>
    <row r="825" spans="5:32" ht="12.75">
      <c r="E825" s="148"/>
      <c r="F825" s="148"/>
      <c r="G825" s="148"/>
      <c r="H825" s="148"/>
      <c r="AE825" s="4"/>
      <c r="AF825" s="4"/>
    </row>
    <row r="826" spans="5:32" ht="12.75">
      <c r="E826" s="148"/>
      <c r="F826" s="148"/>
      <c r="G826" s="148"/>
      <c r="H826" s="148"/>
      <c r="AE826" s="4"/>
      <c r="AF826" s="4"/>
    </row>
    <row r="827" spans="5:32" ht="12.75">
      <c r="E827" s="148"/>
      <c r="F827" s="148"/>
      <c r="G827" s="148"/>
      <c r="H827" s="148"/>
      <c r="AE827" s="4"/>
      <c r="AF827" s="4"/>
    </row>
    <row r="828" spans="5:32" ht="12.75">
      <c r="E828" s="148"/>
      <c r="F828" s="148"/>
      <c r="G828" s="148"/>
      <c r="H828" s="148"/>
      <c r="AE828" s="4"/>
      <c r="AF828" s="4"/>
    </row>
    <row r="829" spans="5:32" ht="12.75">
      <c r="E829" s="148"/>
      <c r="F829" s="148"/>
      <c r="G829" s="148"/>
      <c r="H829" s="148"/>
      <c r="AE829" s="4"/>
      <c r="AF829" s="4"/>
    </row>
    <row r="830" spans="5:32" ht="12.75">
      <c r="E830" s="148"/>
      <c r="F830" s="148"/>
      <c r="G830" s="148"/>
      <c r="H830" s="148"/>
      <c r="AE830" s="4"/>
      <c r="AF830" s="4"/>
    </row>
    <row r="831" spans="5:32" ht="12.75">
      <c r="E831" s="148"/>
      <c r="F831" s="148"/>
      <c r="G831" s="148"/>
      <c r="H831" s="148"/>
      <c r="AE831" s="4"/>
      <c r="AF831" s="4"/>
    </row>
    <row r="832" spans="5:32" ht="12.75">
      <c r="E832" s="148"/>
      <c r="F832" s="148"/>
      <c r="G832" s="148"/>
      <c r="H832" s="148"/>
      <c r="AE832" s="4"/>
      <c r="AF832" s="4"/>
    </row>
    <row r="833" spans="5:32" ht="12.75">
      <c r="E833" s="148"/>
      <c r="F833" s="148"/>
      <c r="G833" s="148"/>
      <c r="H833" s="148"/>
      <c r="AE833" s="4"/>
      <c r="AF833" s="4"/>
    </row>
    <row r="834" spans="5:32" ht="12.75">
      <c r="E834" s="148"/>
      <c r="F834" s="148"/>
      <c r="G834" s="148"/>
      <c r="H834" s="148"/>
      <c r="AE834" s="4"/>
      <c r="AF834" s="4"/>
    </row>
    <row r="835" spans="5:32" ht="12.75">
      <c r="E835" s="148"/>
      <c r="F835" s="148"/>
      <c r="G835" s="148"/>
      <c r="H835" s="148"/>
      <c r="AE835" s="4"/>
      <c r="AF835" s="4"/>
    </row>
    <row r="836" spans="5:32" ht="12.75">
      <c r="E836" s="148"/>
      <c r="F836" s="148"/>
      <c r="G836" s="148"/>
      <c r="H836" s="148"/>
      <c r="AE836" s="4"/>
      <c r="AF836" s="4"/>
    </row>
    <row r="837" spans="5:32" ht="12.75">
      <c r="E837" s="148"/>
      <c r="F837" s="148"/>
      <c r="G837" s="148"/>
      <c r="H837" s="148"/>
      <c r="AE837" s="4"/>
      <c r="AF837" s="4"/>
    </row>
    <row r="838" spans="5:32" ht="12.75">
      <c r="E838" s="148"/>
      <c r="F838" s="148"/>
      <c r="G838" s="148"/>
      <c r="H838" s="148"/>
      <c r="AE838" s="4"/>
      <c r="AF838" s="4"/>
    </row>
    <row r="839" spans="5:32" ht="12.75">
      <c r="E839" s="148"/>
      <c r="F839" s="148"/>
      <c r="G839" s="148"/>
      <c r="H839" s="148"/>
      <c r="AE839" s="4"/>
      <c r="AF839" s="4"/>
    </row>
    <row r="840" spans="5:32" ht="12.75">
      <c r="E840" s="148"/>
      <c r="F840" s="148"/>
      <c r="G840" s="148"/>
      <c r="H840" s="148"/>
      <c r="AE840" s="4"/>
      <c r="AF840" s="4"/>
    </row>
    <row r="841" spans="5:32" ht="12.75">
      <c r="E841" s="148"/>
      <c r="F841" s="148"/>
      <c r="G841" s="148"/>
      <c r="H841" s="148"/>
      <c r="AE841" s="4"/>
      <c r="AF841" s="4"/>
    </row>
    <row r="842" spans="5:32" ht="12.75">
      <c r="E842" s="148"/>
      <c r="F842" s="148"/>
      <c r="G842" s="148"/>
      <c r="H842" s="148"/>
      <c r="AE842" s="4"/>
      <c r="AF842" s="4"/>
    </row>
    <row r="843" spans="5:32" ht="12.75">
      <c r="E843" s="148"/>
      <c r="F843" s="148"/>
      <c r="G843" s="148"/>
      <c r="H843" s="148"/>
      <c r="AE843" s="4"/>
      <c r="AF843" s="4"/>
    </row>
    <row r="844" spans="5:32" ht="12.75">
      <c r="E844" s="148"/>
      <c r="F844" s="148"/>
      <c r="G844" s="148"/>
      <c r="H844" s="148"/>
      <c r="AE844" s="4"/>
      <c r="AF844" s="4"/>
    </row>
    <row r="845" spans="5:32" ht="12.75">
      <c r="E845" s="148"/>
      <c r="F845" s="148"/>
      <c r="G845" s="148"/>
      <c r="H845" s="148"/>
      <c r="AE845" s="4"/>
      <c r="AF845" s="4"/>
    </row>
    <row r="846" spans="5:32" ht="12.75">
      <c r="E846" s="148"/>
      <c r="F846" s="148"/>
      <c r="G846" s="148"/>
      <c r="H846" s="148"/>
      <c r="AE846" s="4"/>
      <c r="AF846" s="4"/>
    </row>
    <row r="847" spans="5:32" ht="12.75">
      <c r="E847" s="148"/>
      <c r="F847" s="148"/>
      <c r="G847" s="148"/>
      <c r="H847" s="148"/>
      <c r="AE847" s="4"/>
      <c r="AF847" s="4"/>
    </row>
    <row r="848" spans="5:32" ht="12.75">
      <c r="E848" s="148"/>
      <c r="F848" s="148"/>
      <c r="G848" s="148"/>
      <c r="H848" s="148"/>
      <c r="AE848" s="4"/>
      <c r="AF848" s="4"/>
    </row>
    <row r="849" spans="5:32" ht="12.75">
      <c r="E849" s="148"/>
      <c r="F849" s="148"/>
      <c r="G849" s="148"/>
      <c r="H849" s="148"/>
      <c r="AE849" s="4"/>
      <c r="AF849" s="4"/>
    </row>
    <row r="850" spans="5:32" ht="12.75">
      <c r="E850" s="148"/>
      <c r="F850" s="148"/>
      <c r="G850" s="148"/>
      <c r="H850" s="148"/>
      <c r="AE850" s="4"/>
      <c r="AF850" s="4"/>
    </row>
    <row r="851" spans="5:32" ht="12.75">
      <c r="E851" s="148"/>
      <c r="F851" s="148"/>
      <c r="G851" s="148"/>
      <c r="H851" s="148"/>
      <c r="AE851" s="4"/>
      <c r="AF851" s="4"/>
    </row>
    <row r="852" spans="5:32" ht="12.75">
      <c r="E852" s="148"/>
      <c r="F852" s="148"/>
      <c r="G852" s="148"/>
      <c r="H852" s="148"/>
      <c r="AE852" s="4"/>
      <c r="AF852" s="4"/>
    </row>
    <row r="853" spans="5:32" ht="12.75">
      <c r="E853" s="148"/>
      <c r="F853" s="148"/>
      <c r="G853" s="148"/>
      <c r="H853" s="148"/>
      <c r="AE853" s="4"/>
      <c r="AF853" s="4"/>
    </row>
    <row r="854" spans="5:32" ht="12.75">
      <c r="E854" s="148"/>
      <c r="F854" s="148"/>
      <c r="G854" s="148"/>
      <c r="H854" s="148"/>
      <c r="AE854" s="4"/>
      <c r="AF854" s="4"/>
    </row>
    <row r="855" spans="5:32" ht="12.75">
      <c r="E855" s="148"/>
      <c r="F855" s="148"/>
      <c r="G855" s="148"/>
      <c r="H855" s="148"/>
      <c r="AE855" s="4"/>
      <c r="AF855" s="4"/>
    </row>
    <row r="856" spans="5:32" ht="12.75">
      <c r="E856" s="148"/>
      <c r="F856" s="148"/>
      <c r="G856" s="148"/>
      <c r="H856" s="148"/>
      <c r="AE856" s="4"/>
      <c r="AF856" s="4"/>
    </row>
    <row r="857" spans="5:32" ht="12.75">
      <c r="E857" s="148"/>
      <c r="F857" s="148"/>
      <c r="G857" s="148"/>
      <c r="H857" s="148"/>
      <c r="AE857" s="4"/>
      <c r="AF857" s="4"/>
    </row>
    <row r="858" spans="5:32" ht="12.75">
      <c r="E858" s="148"/>
      <c r="F858" s="148"/>
      <c r="G858" s="148"/>
      <c r="H858" s="148"/>
      <c r="AE858" s="4"/>
      <c r="AF858" s="4"/>
    </row>
    <row r="859" spans="5:32" ht="12.75">
      <c r="E859" s="148"/>
      <c r="F859" s="148"/>
      <c r="G859" s="148"/>
      <c r="H859" s="148"/>
      <c r="AE859" s="4"/>
      <c r="AF859" s="4"/>
    </row>
    <row r="860" spans="5:32" ht="12.75">
      <c r="E860" s="148"/>
      <c r="F860" s="148"/>
      <c r="G860" s="148"/>
      <c r="H860" s="148"/>
      <c r="AE860" s="4"/>
      <c r="AF860" s="4"/>
    </row>
    <row r="861" spans="5:32" ht="12.75">
      <c r="E861" s="148"/>
      <c r="F861" s="148"/>
      <c r="G861" s="148"/>
      <c r="H861" s="148"/>
      <c r="AE861" s="4"/>
      <c r="AF861" s="4"/>
    </row>
    <row r="862" spans="5:32" ht="12.75">
      <c r="E862" s="148"/>
      <c r="F862" s="148"/>
      <c r="G862" s="148"/>
      <c r="H862" s="148"/>
      <c r="AE862" s="4"/>
      <c r="AF862" s="4"/>
    </row>
    <row r="863" spans="5:32" ht="12.75">
      <c r="E863" s="148"/>
      <c r="F863" s="148"/>
      <c r="G863" s="148"/>
      <c r="H863" s="148"/>
      <c r="AE863" s="4"/>
      <c r="AF863" s="4"/>
    </row>
    <row r="864" spans="5:32" ht="12.75">
      <c r="E864" s="148"/>
      <c r="F864" s="148"/>
      <c r="G864" s="148"/>
      <c r="H864" s="148"/>
      <c r="AE864" s="4"/>
      <c r="AF864" s="4"/>
    </row>
    <row r="865" spans="5:32" ht="12.75">
      <c r="E865" s="148"/>
      <c r="F865" s="148"/>
      <c r="G865" s="148"/>
      <c r="H865" s="148"/>
      <c r="AE865" s="4"/>
      <c r="AF865" s="4"/>
    </row>
    <row r="866" spans="5:32" ht="12.75">
      <c r="E866" s="148"/>
      <c r="F866" s="148"/>
      <c r="G866" s="148"/>
      <c r="H866" s="148"/>
      <c r="AE866" s="4"/>
      <c r="AF866" s="4"/>
    </row>
    <row r="867" spans="5:32" ht="12.75">
      <c r="E867" s="148"/>
      <c r="F867" s="148"/>
      <c r="G867" s="148"/>
      <c r="H867" s="148"/>
      <c r="AE867" s="4"/>
      <c r="AF867" s="4"/>
    </row>
    <row r="868" spans="5:32" ht="12.75">
      <c r="E868" s="148"/>
      <c r="F868" s="148"/>
      <c r="G868" s="148"/>
      <c r="H868" s="148"/>
      <c r="AE868" s="4"/>
      <c r="AF868" s="4"/>
    </row>
    <row r="869" spans="5:32" ht="12.75">
      <c r="E869" s="148"/>
      <c r="F869" s="148"/>
      <c r="G869" s="148"/>
      <c r="H869" s="148"/>
      <c r="AE869" s="4"/>
      <c r="AF869" s="4"/>
    </row>
    <row r="870" spans="5:32" ht="12.75">
      <c r="E870" s="148"/>
      <c r="F870" s="148"/>
      <c r="G870" s="148"/>
      <c r="H870" s="148"/>
      <c r="AE870" s="4"/>
      <c r="AF870" s="4"/>
    </row>
    <row r="871" spans="5:32" ht="12.75">
      <c r="E871" s="148"/>
      <c r="F871" s="148"/>
      <c r="G871" s="148"/>
      <c r="H871" s="148"/>
      <c r="AE871" s="4"/>
      <c r="AF871" s="4"/>
    </row>
    <row r="872" spans="5:32" ht="12.75">
      <c r="E872" s="148"/>
      <c r="F872" s="148"/>
      <c r="G872" s="148"/>
      <c r="H872" s="148"/>
      <c r="AE872" s="4"/>
      <c r="AF872" s="4"/>
    </row>
    <row r="873" spans="5:32" ht="12.75">
      <c r="E873" s="148"/>
      <c r="F873" s="148"/>
      <c r="G873" s="148"/>
      <c r="H873" s="148"/>
      <c r="AE873" s="4"/>
      <c r="AF873" s="4"/>
    </row>
    <row r="874" spans="5:32" ht="12.75">
      <c r="E874" s="148"/>
      <c r="F874" s="148"/>
      <c r="G874" s="148"/>
      <c r="H874" s="148"/>
      <c r="AE874" s="4"/>
      <c r="AF874" s="4"/>
    </row>
    <row r="875" spans="5:32" ht="12.75">
      <c r="E875" s="148"/>
      <c r="F875" s="148"/>
      <c r="G875" s="148"/>
      <c r="H875" s="148"/>
      <c r="AE875" s="4"/>
      <c r="AF875" s="4"/>
    </row>
    <row r="876" spans="5:32" ht="12.75">
      <c r="E876" s="148"/>
      <c r="F876" s="148"/>
      <c r="G876" s="148"/>
      <c r="H876" s="148"/>
      <c r="AE876" s="4"/>
      <c r="AF876" s="4"/>
    </row>
    <row r="877" spans="5:32" ht="12.75">
      <c r="E877" s="148"/>
      <c r="F877" s="148"/>
      <c r="G877" s="148"/>
      <c r="H877" s="148"/>
      <c r="AE877" s="4"/>
      <c r="AF877" s="4"/>
    </row>
    <row r="878" spans="5:32" ht="12.75">
      <c r="E878" s="148"/>
      <c r="F878" s="148"/>
      <c r="G878" s="148"/>
      <c r="H878" s="148"/>
      <c r="AE878" s="4"/>
      <c r="AF878" s="4"/>
    </row>
    <row r="879" spans="5:32" ht="12.75">
      <c r="E879" s="148"/>
      <c r="F879" s="148"/>
      <c r="G879" s="148"/>
      <c r="H879" s="148"/>
      <c r="AE879" s="4"/>
      <c r="AF879" s="4"/>
    </row>
    <row r="880" spans="5:32" ht="12.75">
      <c r="E880" s="148"/>
      <c r="F880" s="148"/>
      <c r="G880" s="148"/>
      <c r="H880" s="148"/>
      <c r="AE880" s="4"/>
      <c r="AF880" s="4"/>
    </row>
    <row r="881" spans="5:32" ht="12.75">
      <c r="E881" s="148"/>
      <c r="F881" s="148"/>
      <c r="G881" s="148"/>
      <c r="H881" s="148"/>
      <c r="AE881" s="4"/>
      <c r="AF881" s="4"/>
    </row>
    <row r="882" spans="5:32" ht="12.75">
      <c r="E882" s="148"/>
      <c r="F882" s="148"/>
      <c r="G882" s="148"/>
      <c r="H882" s="148"/>
      <c r="AE882" s="4"/>
      <c r="AF882" s="4"/>
    </row>
    <row r="883" spans="5:32" ht="12.75">
      <c r="E883" s="148"/>
      <c r="F883" s="148"/>
      <c r="G883" s="148"/>
      <c r="H883" s="148"/>
      <c r="AE883" s="4"/>
      <c r="AF883" s="4"/>
    </row>
    <row r="884" spans="5:32" ht="12.75">
      <c r="E884" s="148"/>
      <c r="F884" s="148"/>
      <c r="G884" s="148"/>
      <c r="H884" s="148"/>
      <c r="AE884" s="4"/>
      <c r="AF884" s="4"/>
    </row>
    <row r="885" spans="5:32" ht="12.75">
      <c r="E885" s="148"/>
      <c r="F885" s="148"/>
      <c r="G885" s="148"/>
      <c r="H885" s="148"/>
      <c r="AE885" s="4"/>
      <c r="AF885" s="4"/>
    </row>
    <row r="886" spans="5:32" ht="12.75">
      <c r="E886" s="148"/>
      <c r="F886" s="148"/>
      <c r="G886" s="148"/>
      <c r="H886" s="148"/>
      <c r="AE886" s="4"/>
      <c r="AF886" s="4"/>
    </row>
    <row r="887" spans="5:32" ht="12.75">
      <c r="E887" s="148"/>
      <c r="F887" s="148"/>
      <c r="G887" s="148"/>
      <c r="H887" s="148"/>
      <c r="AE887" s="4"/>
      <c r="AF887" s="4"/>
    </row>
    <row r="888" spans="5:32" ht="12.75">
      <c r="E888" s="148"/>
      <c r="F888" s="148"/>
      <c r="G888" s="148"/>
      <c r="H888" s="148"/>
      <c r="AE888" s="4"/>
      <c r="AF888" s="4"/>
    </row>
    <row r="889" spans="5:32" ht="12.75">
      <c r="E889" s="148"/>
      <c r="F889" s="148"/>
      <c r="G889" s="148"/>
      <c r="H889" s="148"/>
      <c r="AE889" s="4"/>
      <c r="AF889" s="4"/>
    </row>
    <row r="890" spans="5:32" ht="12.75">
      <c r="E890" s="148"/>
      <c r="F890" s="148"/>
      <c r="G890" s="148"/>
      <c r="H890" s="148"/>
      <c r="AE890" s="4"/>
      <c r="AF890" s="4"/>
    </row>
    <row r="891" spans="5:32" ht="12.75">
      <c r="E891" s="148"/>
      <c r="F891" s="148"/>
      <c r="G891" s="148"/>
      <c r="H891" s="148"/>
      <c r="AE891" s="4"/>
      <c r="AF891" s="4"/>
    </row>
    <row r="892" spans="5:32" ht="12.75">
      <c r="E892" s="148"/>
      <c r="F892" s="148"/>
      <c r="G892" s="148"/>
      <c r="H892" s="148"/>
      <c r="AE892" s="4"/>
      <c r="AF892" s="4"/>
    </row>
    <row r="893" spans="5:32" ht="12.75">
      <c r="E893" s="148"/>
      <c r="F893" s="148"/>
      <c r="G893" s="148"/>
      <c r="H893" s="148"/>
      <c r="AE893" s="4"/>
      <c r="AF893" s="4"/>
    </row>
    <row r="894" spans="5:32" ht="12.75">
      <c r="E894" s="148"/>
      <c r="F894" s="148"/>
      <c r="G894" s="148"/>
      <c r="H894" s="148"/>
      <c r="AE894" s="4"/>
      <c r="AF894" s="4"/>
    </row>
    <row r="895" spans="5:32" ht="12.75">
      <c r="E895" s="148"/>
      <c r="F895" s="148"/>
      <c r="G895" s="148"/>
      <c r="H895" s="148"/>
      <c r="AE895" s="4"/>
      <c r="AF895" s="4"/>
    </row>
    <row r="896" spans="5:32" ht="12.75">
      <c r="E896" s="148"/>
      <c r="F896" s="148"/>
      <c r="G896" s="148"/>
      <c r="H896" s="148"/>
      <c r="AE896" s="4"/>
      <c r="AF896" s="4"/>
    </row>
    <row r="897" spans="5:32" ht="12.75">
      <c r="E897" s="148"/>
      <c r="F897" s="148"/>
      <c r="G897" s="148"/>
      <c r="H897" s="148"/>
      <c r="AE897" s="4"/>
      <c r="AF897" s="4"/>
    </row>
    <row r="898" spans="5:32" ht="12.75">
      <c r="E898" s="148"/>
      <c r="F898" s="148"/>
      <c r="G898" s="148"/>
      <c r="H898" s="148"/>
      <c r="AE898" s="4"/>
      <c r="AF898" s="4"/>
    </row>
    <row r="899" spans="5:32" ht="12.75">
      <c r="E899" s="148"/>
      <c r="F899" s="148"/>
      <c r="G899" s="148"/>
      <c r="H899" s="148"/>
      <c r="AE899" s="4"/>
      <c r="AF899" s="4"/>
    </row>
    <row r="900" spans="5:32" ht="12.75">
      <c r="E900" s="148"/>
      <c r="F900" s="148"/>
      <c r="G900" s="148"/>
      <c r="H900" s="148"/>
      <c r="AE900" s="4"/>
      <c r="AF900" s="4"/>
    </row>
    <row r="901" spans="5:32" ht="12.75">
      <c r="E901" s="148"/>
      <c r="F901" s="148"/>
      <c r="G901" s="148"/>
      <c r="H901" s="148"/>
      <c r="AE901" s="4"/>
      <c r="AF901" s="4"/>
    </row>
    <row r="902" spans="5:32" ht="12.75">
      <c r="E902" s="148"/>
      <c r="F902" s="148"/>
      <c r="G902" s="148"/>
      <c r="H902" s="148"/>
      <c r="AE902" s="4"/>
      <c r="AF902" s="4"/>
    </row>
    <row r="903" spans="5:32" ht="12.75">
      <c r="E903" s="148"/>
      <c r="F903" s="148"/>
      <c r="G903" s="148"/>
      <c r="H903" s="148"/>
      <c r="AE903" s="4"/>
      <c r="AF903" s="4"/>
    </row>
    <row r="904" spans="5:32" ht="12.75">
      <c r="E904" s="148"/>
      <c r="F904" s="148"/>
      <c r="G904" s="148"/>
      <c r="H904" s="148"/>
      <c r="AE904" s="4"/>
      <c r="AF904" s="4"/>
    </row>
    <row r="905" spans="5:32" ht="12.75">
      <c r="E905" s="148"/>
      <c r="F905" s="148"/>
      <c r="G905" s="148"/>
      <c r="H905" s="148"/>
      <c r="AE905" s="4"/>
      <c r="AF905" s="4"/>
    </row>
    <row r="906" spans="5:32" ht="12.75">
      <c r="E906" s="148"/>
      <c r="F906" s="148"/>
      <c r="G906" s="148"/>
      <c r="H906" s="148"/>
      <c r="AE906" s="4"/>
      <c r="AF906" s="4"/>
    </row>
    <row r="907" spans="5:32" ht="12.75">
      <c r="E907" s="148"/>
      <c r="F907" s="148"/>
      <c r="G907" s="148"/>
      <c r="H907" s="148"/>
      <c r="AE907" s="4"/>
      <c r="AF907" s="4"/>
    </row>
    <row r="908" spans="5:32" ht="12.75">
      <c r="E908" s="148"/>
      <c r="F908" s="148"/>
      <c r="G908" s="148"/>
      <c r="H908" s="148"/>
      <c r="AE908" s="4"/>
      <c r="AF908" s="4"/>
    </row>
    <row r="909" spans="5:32" ht="12.75">
      <c r="E909" s="148"/>
      <c r="F909" s="148"/>
      <c r="G909" s="148"/>
      <c r="H909" s="148"/>
      <c r="AE909" s="4"/>
      <c r="AF909" s="4"/>
    </row>
    <row r="910" spans="5:32" ht="12.75">
      <c r="E910" s="148"/>
      <c r="F910" s="148"/>
      <c r="G910" s="148"/>
      <c r="H910" s="148"/>
      <c r="AE910" s="4"/>
      <c r="AF910" s="4"/>
    </row>
    <row r="911" spans="5:32" ht="12.75">
      <c r="E911" s="148"/>
      <c r="F911" s="148"/>
      <c r="G911" s="148"/>
      <c r="H911" s="148"/>
      <c r="AE911" s="4"/>
      <c r="AF911" s="4"/>
    </row>
    <row r="912" spans="5:32" ht="12.75">
      <c r="E912" s="148"/>
      <c r="F912" s="148"/>
      <c r="G912" s="148"/>
      <c r="H912" s="148"/>
      <c r="AE912" s="4"/>
      <c r="AF912" s="4"/>
    </row>
    <row r="913" spans="5:32" ht="12.75">
      <c r="E913" s="148"/>
      <c r="F913" s="148"/>
      <c r="G913" s="148"/>
      <c r="H913" s="148"/>
      <c r="AE913" s="4"/>
      <c r="AF913" s="4"/>
    </row>
    <row r="914" spans="5:32" ht="12.75">
      <c r="E914" s="148"/>
      <c r="F914" s="148"/>
      <c r="G914" s="148"/>
      <c r="H914" s="148"/>
      <c r="AE914" s="4"/>
      <c r="AF914" s="4"/>
    </row>
    <row r="915" spans="5:32" ht="12.75">
      <c r="E915" s="148"/>
      <c r="F915" s="148"/>
      <c r="G915" s="148"/>
      <c r="H915" s="148"/>
      <c r="AE915" s="4"/>
      <c r="AF915" s="4"/>
    </row>
    <row r="916" spans="5:32" ht="12.75">
      <c r="E916" s="148"/>
      <c r="F916" s="148"/>
      <c r="G916" s="148"/>
      <c r="H916" s="148"/>
      <c r="AE916" s="4"/>
      <c r="AF916" s="4"/>
    </row>
    <row r="917" spans="5:32" ht="12.75">
      <c r="E917" s="148"/>
      <c r="F917" s="148"/>
      <c r="G917" s="148"/>
      <c r="H917" s="148"/>
      <c r="AE917" s="4"/>
      <c r="AF917" s="4"/>
    </row>
    <row r="918" spans="5:32" ht="12.75">
      <c r="E918" s="148"/>
      <c r="F918" s="148"/>
      <c r="G918" s="148"/>
      <c r="H918" s="148"/>
      <c r="AE918" s="4"/>
      <c r="AF918" s="4"/>
    </row>
    <row r="919" spans="5:32" ht="12.75">
      <c r="E919" s="148"/>
      <c r="F919" s="148"/>
      <c r="G919" s="148"/>
      <c r="H919" s="148"/>
      <c r="AE919" s="4"/>
      <c r="AF919" s="4"/>
    </row>
    <row r="920" spans="5:32" ht="12.75">
      <c r="E920" s="148"/>
      <c r="F920" s="148"/>
      <c r="G920" s="148"/>
      <c r="H920" s="148"/>
      <c r="AE920" s="4"/>
      <c r="AF920" s="4"/>
    </row>
    <row r="921" spans="5:32" ht="12.75">
      <c r="E921" s="148"/>
      <c r="F921" s="148"/>
      <c r="G921" s="148"/>
      <c r="H921" s="148"/>
      <c r="AE921" s="4"/>
      <c r="AF921" s="4"/>
    </row>
    <row r="922" spans="5:32" ht="12.75">
      <c r="E922" s="148"/>
      <c r="F922" s="148"/>
      <c r="G922" s="148"/>
      <c r="H922" s="148"/>
      <c r="AE922" s="4"/>
      <c r="AF922" s="4"/>
    </row>
    <row r="923" spans="5:32" ht="12.75">
      <c r="E923" s="148"/>
      <c r="F923" s="148"/>
      <c r="G923" s="148"/>
      <c r="H923" s="148"/>
      <c r="AE923" s="4"/>
      <c r="AF923" s="4"/>
    </row>
    <row r="924" spans="5:32" ht="12.75">
      <c r="E924" s="148"/>
      <c r="F924" s="148"/>
      <c r="G924" s="148"/>
      <c r="H924" s="148"/>
      <c r="AE924" s="4"/>
      <c r="AF924" s="4"/>
    </row>
    <row r="925" spans="5:32" ht="12.75">
      <c r="E925" s="148"/>
      <c r="F925" s="148"/>
      <c r="G925" s="148"/>
      <c r="H925" s="148"/>
      <c r="AE925" s="4"/>
      <c r="AF925" s="4"/>
    </row>
    <row r="926" spans="5:32" ht="12.75">
      <c r="E926" s="148"/>
      <c r="F926" s="148"/>
      <c r="G926" s="148"/>
      <c r="H926" s="148"/>
      <c r="AE926" s="4"/>
      <c r="AF926" s="4"/>
    </row>
    <row r="927" spans="5:32" ht="12.75">
      <c r="E927" s="148"/>
      <c r="F927" s="148"/>
      <c r="G927" s="148"/>
      <c r="H927" s="148"/>
      <c r="AE927" s="4"/>
      <c r="AF927" s="4"/>
    </row>
    <row r="928" spans="5:32" ht="12.75">
      <c r="E928" s="148"/>
      <c r="F928" s="148"/>
      <c r="G928" s="148"/>
      <c r="H928" s="148"/>
      <c r="AE928" s="4"/>
      <c r="AF928" s="4"/>
    </row>
    <row r="929" spans="5:32" ht="12.75">
      <c r="E929" s="148"/>
      <c r="F929" s="148"/>
      <c r="G929" s="148"/>
      <c r="H929" s="148"/>
      <c r="AE929" s="4"/>
      <c r="AF929" s="4"/>
    </row>
    <row r="930" spans="5:32" ht="12.75">
      <c r="E930" s="148"/>
      <c r="F930" s="148"/>
      <c r="G930" s="148"/>
      <c r="H930" s="148"/>
      <c r="AE930" s="4"/>
      <c r="AF930" s="4"/>
    </row>
    <row r="931" spans="5:32" ht="12.75">
      <c r="E931" s="148"/>
      <c r="F931" s="148"/>
      <c r="G931" s="148"/>
      <c r="H931" s="148"/>
      <c r="AE931" s="4"/>
      <c r="AF931" s="4"/>
    </row>
    <row r="932" spans="5:32" ht="12.75">
      <c r="E932" s="148"/>
      <c r="F932" s="148"/>
      <c r="G932" s="148"/>
      <c r="H932" s="148"/>
      <c r="AE932" s="4"/>
      <c r="AF932" s="4"/>
    </row>
    <row r="933" spans="5:32" ht="12.75">
      <c r="E933" s="148"/>
      <c r="F933" s="148"/>
      <c r="G933" s="148"/>
      <c r="H933" s="148"/>
      <c r="AE933" s="4"/>
      <c r="AF933" s="4"/>
    </row>
    <row r="934" spans="5:32" ht="12.75">
      <c r="E934" s="148"/>
      <c r="F934" s="148"/>
      <c r="G934" s="148"/>
      <c r="H934" s="148"/>
      <c r="AE934" s="4"/>
      <c r="AF934" s="4"/>
    </row>
    <row r="935" spans="5:32" ht="12.75">
      <c r="E935" s="148"/>
      <c r="F935" s="148"/>
      <c r="G935" s="148"/>
      <c r="H935" s="148"/>
      <c r="AE935" s="4"/>
      <c r="AF935" s="4"/>
    </row>
    <row r="936" spans="5:32" ht="12.75">
      <c r="E936" s="148"/>
      <c r="F936" s="148"/>
      <c r="G936" s="148"/>
      <c r="H936" s="148"/>
      <c r="AE936" s="4"/>
      <c r="AF936" s="4"/>
    </row>
    <row r="937" spans="5:32" ht="12.75">
      <c r="E937" s="148"/>
      <c r="F937" s="148"/>
      <c r="G937" s="148"/>
      <c r="H937" s="148"/>
      <c r="AE937" s="4"/>
      <c r="AF937" s="4"/>
    </row>
    <row r="938" spans="5:32" ht="12.75">
      <c r="E938" s="148"/>
      <c r="F938" s="148"/>
      <c r="G938" s="148"/>
      <c r="H938" s="148"/>
      <c r="AE938" s="4"/>
      <c r="AF938" s="4"/>
    </row>
    <row r="939" spans="5:32" ht="12.75">
      <c r="E939" s="148"/>
      <c r="F939" s="148"/>
      <c r="G939" s="148"/>
      <c r="H939" s="148"/>
      <c r="AE939" s="4"/>
      <c r="AF939" s="4"/>
    </row>
    <row r="940" spans="5:32" ht="12.75">
      <c r="E940" s="148"/>
      <c r="F940" s="148"/>
      <c r="G940" s="148"/>
      <c r="H940" s="148"/>
      <c r="AE940" s="4"/>
      <c r="AF940" s="4"/>
    </row>
    <row r="941" spans="5:32" ht="12.75">
      <c r="E941" s="148"/>
      <c r="F941" s="148"/>
      <c r="G941" s="148"/>
      <c r="H941" s="148"/>
      <c r="AE941" s="4"/>
      <c r="AF941" s="4"/>
    </row>
    <row r="942" spans="5:32" ht="12.75">
      <c r="E942" s="148"/>
      <c r="F942" s="148"/>
      <c r="G942" s="148"/>
      <c r="H942" s="148"/>
      <c r="AE942" s="4"/>
      <c r="AF942" s="4"/>
    </row>
    <row r="943" spans="5:32" ht="12.75">
      <c r="E943" s="148"/>
      <c r="F943" s="148"/>
      <c r="G943" s="148"/>
      <c r="H943" s="148"/>
      <c r="AE943" s="4"/>
      <c r="AF943" s="4"/>
    </row>
    <row r="944" spans="5:32" ht="12.75">
      <c r="E944" s="148"/>
      <c r="F944" s="148"/>
      <c r="G944" s="148"/>
      <c r="H944" s="148"/>
      <c r="AE944" s="4"/>
      <c r="AF944" s="4"/>
    </row>
    <row r="945" spans="5:32" ht="12.75">
      <c r="E945" s="148"/>
      <c r="F945" s="148"/>
      <c r="G945" s="148"/>
      <c r="H945" s="148"/>
      <c r="AE945" s="4"/>
      <c r="AF945" s="4"/>
    </row>
    <row r="946" spans="5:32" ht="12.75">
      <c r="E946" s="148"/>
      <c r="F946" s="148"/>
      <c r="G946" s="148"/>
      <c r="H946" s="148"/>
      <c r="AE946" s="4"/>
      <c r="AF946" s="4"/>
    </row>
    <row r="947" spans="5:32" ht="12.75">
      <c r="E947" s="148"/>
      <c r="F947" s="148"/>
      <c r="G947" s="148"/>
      <c r="H947" s="148"/>
      <c r="AE947" s="4"/>
      <c r="AF947" s="4"/>
    </row>
    <row r="948" spans="5:32" ht="12.75">
      <c r="E948" s="148"/>
      <c r="F948" s="148"/>
      <c r="G948" s="148"/>
      <c r="H948" s="148"/>
      <c r="AE948" s="4"/>
      <c r="AF948" s="4"/>
    </row>
    <row r="949" spans="5:32" ht="12.75">
      <c r="E949" s="148"/>
      <c r="F949" s="148"/>
      <c r="G949" s="148"/>
      <c r="H949" s="148"/>
      <c r="AE949" s="4"/>
      <c r="AF949" s="4"/>
    </row>
    <row r="950" spans="5:32" ht="12.75">
      <c r="E950" s="148"/>
      <c r="F950" s="148"/>
      <c r="G950" s="148"/>
      <c r="H950" s="148"/>
      <c r="AE950" s="4"/>
      <c r="AF950" s="4"/>
    </row>
    <row r="951" spans="5:32" ht="12.75">
      <c r="E951" s="148"/>
      <c r="F951" s="148"/>
      <c r="G951" s="148"/>
      <c r="H951" s="148"/>
      <c r="AE951" s="4"/>
      <c r="AF951" s="4"/>
    </row>
    <row r="952" spans="5:32" ht="12.75">
      <c r="E952" s="148"/>
      <c r="F952" s="148"/>
      <c r="G952" s="148"/>
      <c r="H952" s="148"/>
      <c r="AE952" s="4"/>
      <c r="AF952" s="4"/>
    </row>
    <row r="953" spans="5:32" ht="12.75">
      <c r="E953" s="148"/>
      <c r="F953" s="148"/>
      <c r="G953" s="148"/>
      <c r="H953" s="148"/>
      <c r="AE953" s="4"/>
      <c r="AF953" s="4"/>
    </row>
    <row r="954" spans="5:32" ht="12.75">
      <c r="E954" s="148"/>
      <c r="F954" s="148"/>
      <c r="G954" s="148"/>
      <c r="H954" s="148"/>
      <c r="AE954" s="4"/>
      <c r="AF954" s="4"/>
    </row>
    <row r="955" spans="5:32" ht="12.75">
      <c r="E955" s="148"/>
      <c r="F955" s="148"/>
      <c r="G955" s="148"/>
      <c r="H955" s="148"/>
      <c r="AE955" s="4"/>
      <c r="AF955" s="4"/>
    </row>
    <row r="956" spans="5:32" ht="12.75">
      <c r="E956" s="148"/>
      <c r="F956" s="148"/>
      <c r="G956" s="148"/>
      <c r="H956" s="148"/>
      <c r="AE956" s="4"/>
      <c r="AF956" s="4"/>
    </row>
    <row r="957" spans="5:32" ht="12.75">
      <c r="E957" s="148"/>
      <c r="F957" s="148"/>
      <c r="G957" s="148"/>
      <c r="H957" s="148"/>
      <c r="AE957" s="4"/>
      <c r="AF957" s="4"/>
    </row>
    <row r="958" spans="5:32" ht="12.75">
      <c r="E958" s="148"/>
      <c r="F958" s="148"/>
      <c r="G958" s="148"/>
      <c r="H958" s="148"/>
      <c r="AE958" s="4"/>
      <c r="AF958" s="4"/>
    </row>
    <row r="959" spans="5:32" ht="12.75">
      <c r="E959" s="148"/>
      <c r="F959" s="148"/>
      <c r="G959" s="148"/>
      <c r="H959" s="148"/>
      <c r="AE959" s="4"/>
      <c r="AF959" s="4"/>
    </row>
    <row r="960" spans="5:32" ht="12.75">
      <c r="E960" s="148"/>
      <c r="F960" s="148"/>
      <c r="G960" s="148"/>
      <c r="H960" s="148"/>
      <c r="AE960" s="4"/>
      <c r="AF960" s="4"/>
    </row>
    <row r="961" spans="5:32" ht="12.75">
      <c r="E961" s="148"/>
      <c r="F961" s="148"/>
      <c r="G961" s="148"/>
      <c r="H961" s="148"/>
      <c r="AE961" s="4"/>
      <c r="AF961" s="4"/>
    </row>
    <row r="962" spans="5:32" ht="12.75">
      <c r="E962" s="148"/>
      <c r="F962" s="148"/>
      <c r="G962" s="148"/>
      <c r="H962" s="148"/>
      <c r="AE962" s="4"/>
      <c r="AF962" s="4"/>
    </row>
    <row r="963" spans="5:32" ht="12.75">
      <c r="E963" s="148"/>
      <c r="F963" s="148"/>
      <c r="G963" s="148"/>
      <c r="H963" s="148"/>
      <c r="AE963" s="4"/>
      <c r="AF963" s="4"/>
    </row>
    <row r="964" spans="5:32" ht="12.75">
      <c r="E964" s="148"/>
      <c r="F964" s="148"/>
      <c r="G964" s="148"/>
      <c r="H964" s="148"/>
      <c r="AE964" s="4"/>
      <c r="AF964" s="4"/>
    </row>
    <row r="965" spans="5:32" ht="12.75">
      <c r="E965" s="148"/>
      <c r="F965" s="148"/>
      <c r="G965" s="148"/>
      <c r="H965" s="148"/>
      <c r="AE965" s="4"/>
      <c r="AF965" s="4"/>
    </row>
    <row r="966" spans="5:32" ht="12.75">
      <c r="E966" s="148"/>
      <c r="F966" s="148"/>
      <c r="G966" s="148"/>
      <c r="H966" s="148"/>
      <c r="AE966" s="4"/>
      <c r="AF966" s="4"/>
    </row>
    <row r="967" spans="5:32" ht="12.75">
      <c r="E967" s="148"/>
      <c r="F967" s="148"/>
      <c r="G967" s="148"/>
      <c r="H967" s="148"/>
      <c r="AE967" s="4"/>
      <c r="AF967" s="4"/>
    </row>
    <row r="968" spans="5:32" ht="12.75">
      <c r="E968" s="148"/>
      <c r="F968" s="148"/>
      <c r="G968" s="148"/>
      <c r="H968" s="148"/>
      <c r="AE968" s="4"/>
      <c r="AF968" s="4"/>
    </row>
    <row r="969" spans="5:32" ht="12.75">
      <c r="E969" s="148"/>
      <c r="F969" s="148"/>
      <c r="G969" s="148"/>
      <c r="H969" s="148"/>
      <c r="AE969" s="4"/>
      <c r="AF969" s="4"/>
    </row>
    <row r="970" spans="5:32" ht="12.75">
      <c r="E970" s="148"/>
      <c r="F970" s="148"/>
      <c r="G970" s="148"/>
      <c r="H970" s="148"/>
      <c r="AE970" s="4"/>
      <c r="AF970" s="4"/>
    </row>
    <row r="971" spans="5:32" ht="12.75">
      <c r="E971" s="148"/>
      <c r="F971" s="148"/>
      <c r="G971" s="148"/>
      <c r="H971" s="148"/>
      <c r="AE971" s="4"/>
      <c r="AF971" s="4"/>
    </row>
    <row r="972" spans="5:32" ht="12.75">
      <c r="E972" s="148"/>
      <c r="F972" s="148"/>
      <c r="G972" s="148"/>
      <c r="H972" s="148"/>
      <c r="AE972" s="4"/>
      <c r="AF972" s="4"/>
    </row>
    <row r="973" spans="5:32" ht="12.75">
      <c r="E973" s="148"/>
      <c r="F973" s="148"/>
      <c r="G973" s="148"/>
      <c r="H973" s="148"/>
      <c r="AE973" s="4"/>
      <c r="AF973" s="4"/>
    </row>
    <row r="974" spans="5:32" ht="12.75">
      <c r="E974" s="148"/>
      <c r="F974" s="148"/>
      <c r="G974" s="148"/>
      <c r="H974" s="148"/>
      <c r="AE974" s="4"/>
      <c r="AF974" s="4"/>
    </row>
    <row r="975" spans="5:32" ht="12.75">
      <c r="E975" s="148"/>
      <c r="F975" s="148"/>
      <c r="G975" s="148"/>
      <c r="H975" s="148"/>
      <c r="AE975" s="4"/>
      <c r="AF975" s="4"/>
    </row>
    <row r="976" spans="5:32" ht="12.75">
      <c r="E976" s="148"/>
      <c r="F976" s="148"/>
      <c r="G976" s="148"/>
      <c r="H976" s="148"/>
      <c r="AE976" s="4"/>
      <c r="AF976" s="4"/>
    </row>
    <row r="977" spans="5:32" ht="12.75">
      <c r="E977" s="148"/>
      <c r="F977" s="148"/>
      <c r="G977" s="148"/>
      <c r="H977" s="148"/>
      <c r="AE977" s="4"/>
      <c r="AF977" s="4"/>
    </row>
    <row r="978" spans="5:32" ht="12.75">
      <c r="E978" s="148"/>
      <c r="F978" s="148"/>
      <c r="G978" s="148"/>
      <c r="H978" s="148"/>
      <c r="AE978" s="4"/>
      <c r="AF978" s="4"/>
    </row>
    <row r="979" spans="5:32" ht="12.75">
      <c r="E979" s="148"/>
      <c r="F979" s="148"/>
      <c r="G979" s="148"/>
      <c r="H979" s="148"/>
      <c r="AE979" s="4"/>
      <c r="AF979" s="4"/>
    </row>
    <row r="980" spans="5:32" ht="12.75">
      <c r="E980" s="148"/>
      <c r="F980" s="148"/>
      <c r="G980" s="148"/>
      <c r="H980" s="148"/>
      <c r="AE980" s="4"/>
      <c r="AF980" s="4"/>
    </row>
    <row r="981" spans="5:32" ht="12.75">
      <c r="E981" s="148"/>
      <c r="F981" s="148"/>
      <c r="G981" s="148"/>
      <c r="H981" s="148"/>
      <c r="AE981" s="4"/>
      <c r="AF981" s="4"/>
    </row>
    <row r="982" spans="5:32" ht="12.75">
      <c r="E982" s="148"/>
      <c r="F982" s="148"/>
      <c r="G982" s="148"/>
      <c r="H982" s="148"/>
      <c r="AE982" s="4"/>
      <c r="AF982" s="4"/>
    </row>
    <row r="983" spans="5:32" ht="12.75">
      <c r="E983" s="148"/>
      <c r="F983" s="148"/>
      <c r="G983" s="148"/>
      <c r="H983" s="148"/>
      <c r="AE983" s="4"/>
      <c r="AF983" s="4"/>
    </row>
    <row r="984" spans="5:32" ht="12.75">
      <c r="E984" s="148"/>
      <c r="F984" s="148"/>
      <c r="G984" s="148"/>
      <c r="H984" s="148"/>
      <c r="AE984" s="4"/>
      <c r="AF984" s="4"/>
    </row>
    <row r="985" spans="5:32" ht="12.75">
      <c r="E985" s="148"/>
      <c r="F985" s="148"/>
      <c r="G985" s="148"/>
      <c r="H985" s="148"/>
      <c r="AE985" s="4"/>
      <c r="AF985" s="4"/>
    </row>
    <row r="986" spans="5:32" ht="12.75">
      <c r="E986" s="148"/>
      <c r="F986" s="148"/>
      <c r="G986" s="148"/>
      <c r="H986" s="148"/>
      <c r="AE986" s="4"/>
      <c r="AF986" s="4"/>
    </row>
    <row r="987" spans="5:32" ht="12.75">
      <c r="E987" s="148"/>
      <c r="F987" s="148"/>
      <c r="G987" s="148"/>
      <c r="H987" s="148"/>
      <c r="AE987" s="4"/>
      <c r="AF987" s="4"/>
    </row>
    <row r="988" spans="5:32" ht="12.75">
      <c r="E988" s="148"/>
      <c r="F988" s="148"/>
      <c r="G988" s="148"/>
      <c r="H988" s="148"/>
      <c r="AE988" s="4"/>
      <c r="AF988" s="4"/>
    </row>
    <row r="989" spans="5:32" ht="12.75">
      <c r="E989" s="148"/>
      <c r="F989" s="148"/>
      <c r="G989" s="148"/>
      <c r="H989" s="148"/>
      <c r="AE989" s="4"/>
      <c r="AF989" s="4"/>
    </row>
    <row r="990" spans="5:32" ht="12.75">
      <c r="E990" s="148"/>
      <c r="F990" s="148"/>
      <c r="G990" s="148"/>
      <c r="H990" s="148"/>
      <c r="AE990" s="4"/>
      <c r="AF990" s="4"/>
    </row>
    <row r="991" spans="5:32" ht="12.75">
      <c r="E991" s="148"/>
      <c r="F991" s="148"/>
      <c r="G991" s="148"/>
      <c r="H991" s="148"/>
      <c r="AE991" s="4"/>
      <c r="AF991" s="4"/>
    </row>
    <row r="992" spans="5:32" ht="12.75">
      <c r="E992" s="148"/>
      <c r="F992" s="148"/>
      <c r="G992" s="148"/>
      <c r="H992" s="148"/>
      <c r="AE992" s="4"/>
      <c r="AF992" s="4"/>
    </row>
    <row r="993" spans="5:32" ht="12.75">
      <c r="E993" s="148"/>
      <c r="F993" s="148"/>
      <c r="G993" s="148"/>
      <c r="H993" s="148"/>
      <c r="AE993" s="4"/>
      <c r="AF993" s="4"/>
    </row>
  </sheetData>
  <mergeCells count="26">
    <mergeCell ref="J47:K47"/>
    <mergeCell ref="J14:K14"/>
    <mergeCell ref="J15:K15"/>
    <mergeCell ref="I18:K18"/>
    <mergeCell ref="J19:J21"/>
    <mergeCell ref="J22:J24"/>
    <mergeCell ref="J26:K26"/>
    <mergeCell ref="I29:K29"/>
    <mergeCell ref="I19:I25"/>
    <mergeCell ref="I30:I36"/>
    <mergeCell ref="I40:I46"/>
    <mergeCell ref="J30:J32"/>
    <mergeCell ref="J33:J35"/>
    <mergeCell ref="J37:K37"/>
    <mergeCell ref="I39:K39"/>
    <mergeCell ref="J40:J42"/>
    <mergeCell ref="J43:J45"/>
    <mergeCell ref="J9:J11"/>
    <mergeCell ref="J13:K13"/>
    <mergeCell ref="I5:K5"/>
    <mergeCell ref="A6:A8"/>
    <mergeCell ref="D6:D8"/>
    <mergeCell ref="I6:I15"/>
    <mergeCell ref="J6:J8"/>
    <mergeCell ref="A9:A11"/>
    <mergeCell ref="D9:D11"/>
  </mergeCells>
  <phoneticPr fontId="86" type="noConversion"/>
  <conditionalFormatting sqref="L30:AE36 X40:AE46 B34:C36 D36 L46:W46">
    <cfRule type="cellIs" dxfId="22" priority="2" operator="lessThan">
      <formula>0</formula>
    </cfRule>
  </conditionalFormatting>
  <conditionalFormatting sqref="L40:AE46">
    <cfRule type="colorScale" priority="3">
      <colorScale>
        <cfvo type="formula" val="0"/>
        <cfvo type="formula" val="3"/>
        <cfvo type="formula" val="10"/>
        <color rgb="FF9FC5E8"/>
        <color rgb="FFFFFFFF"/>
        <color rgb="FFE67C73"/>
      </colorScale>
    </cfRule>
  </conditionalFormatting>
  <conditionalFormatting sqref="M30:AE35 X40:AA45 AD40:AE45">
    <cfRule type="cellIs" dxfId="21" priority="1" operator="lessThanOr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DAF8"/>
    <outlinePr summaryBelow="0" summaryRight="0"/>
  </sheetPr>
  <dimension ref="A1:S80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0.5703125" customWidth="1"/>
    <col min="2" max="2" width="16.140625" customWidth="1"/>
    <col min="3" max="3" width="46.85546875" customWidth="1"/>
    <col min="6" max="6" width="12.85546875" customWidth="1"/>
    <col min="7" max="7" width="14.28515625" customWidth="1"/>
    <col min="8" max="8" width="11.85546875" customWidth="1"/>
  </cols>
  <sheetData>
    <row r="1" spans="1:19" ht="15.75" customHeight="1">
      <c r="A1" s="159" t="s">
        <v>61</v>
      </c>
      <c r="B1" s="160" t="s">
        <v>62</v>
      </c>
      <c r="C1" s="160" t="s">
        <v>63</v>
      </c>
      <c r="D1" s="161" t="s">
        <v>64</v>
      </c>
      <c r="E1" s="161" t="s">
        <v>65</v>
      </c>
      <c r="F1" s="163" t="s">
        <v>66</v>
      </c>
      <c r="G1" s="163" t="s">
        <v>67</v>
      </c>
      <c r="H1" s="164" t="s">
        <v>68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.75" customHeight="1">
      <c r="A2" s="167" t="s">
        <v>70</v>
      </c>
      <c r="B2" s="167">
        <v>20250146</v>
      </c>
      <c r="C2" s="167" t="s">
        <v>72</v>
      </c>
      <c r="D2" s="172">
        <v>6044</v>
      </c>
      <c r="E2" s="172">
        <f t="shared" ref="E2:E79" si="0">IF(ISNUMBER(SEARCH("fortimel", C2)), D2*12, D2*4)</f>
        <v>24176</v>
      </c>
      <c r="F2" s="174">
        <v>45777</v>
      </c>
      <c r="G2" s="174"/>
      <c r="H2" s="167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15.75" customHeight="1">
      <c r="A3" s="167" t="s">
        <v>70</v>
      </c>
      <c r="B3" s="167">
        <v>20250701</v>
      </c>
      <c r="C3" s="167" t="s">
        <v>72</v>
      </c>
      <c r="D3" s="172">
        <v>284</v>
      </c>
      <c r="E3" s="172">
        <f t="shared" si="0"/>
        <v>1136</v>
      </c>
      <c r="F3" s="174">
        <v>45887</v>
      </c>
      <c r="G3" s="174"/>
      <c r="H3" s="167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5.75" customHeight="1">
      <c r="A4" s="167" t="s">
        <v>70</v>
      </c>
      <c r="B4" s="167">
        <v>20250452</v>
      </c>
      <c r="C4" s="167" t="s">
        <v>72</v>
      </c>
      <c r="D4" s="172">
        <v>377</v>
      </c>
      <c r="E4" s="172">
        <f t="shared" si="0"/>
        <v>1508</v>
      </c>
      <c r="F4" s="174">
        <v>45799</v>
      </c>
      <c r="G4" s="174"/>
      <c r="H4" s="167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5.75" customHeight="1">
      <c r="A5" s="167" t="s">
        <v>77</v>
      </c>
      <c r="B5" s="167">
        <v>20250145</v>
      </c>
      <c r="C5" s="167" t="s">
        <v>79</v>
      </c>
      <c r="D5" s="172">
        <v>480</v>
      </c>
      <c r="E5" s="172">
        <f t="shared" si="0"/>
        <v>1920</v>
      </c>
      <c r="F5" s="174">
        <v>45764</v>
      </c>
      <c r="G5" s="174"/>
      <c r="H5" s="167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5.75" customHeight="1">
      <c r="A6" s="167" t="s">
        <v>77</v>
      </c>
      <c r="B6" s="167">
        <v>20250367</v>
      </c>
      <c r="C6" s="167" t="s">
        <v>79</v>
      </c>
      <c r="D6" s="172">
        <v>457</v>
      </c>
      <c r="E6" s="172">
        <f t="shared" si="0"/>
        <v>1828</v>
      </c>
      <c r="F6" s="174">
        <v>45799</v>
      </c>
      <c r="G6" s="174"/>
      <c r="H6" s="167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15.75" customHeight="1">
      <c r="A7" s="167" t="s">
        <v>77</v>
      </c>
      <c r="B7" s="167">
        <v>20250720</v>
      </c>
      <c r="C7" s="167" t="s">
        <v>79</v>
      </c>
      <c r="D7" s="172">
        <v>943</v>
      </c>
      <c r="E7" s="172">
        <f t="shared" si="0"/>
        <v>3772</v>
      </c>
      <c r="F7" s="174">
        <v>45833</v>
      </c>
      <c r="G7" s="174"/>
      <c r="H7" s="176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5.75" customHeight="1">
      <c r="A8" s="167" t="s">
        <v>77</v>
      </c>
      <c r="B8" s="167">
        <v>20250145</v>
      </c>
      <c r="C8" s="167" t="s">
        <v>82</v>
      </c>
      <c r="D8" s="172">
        <v>480</v>
      </c>
      <c r="E8" s="172">
        <f t="shared" si="0"/>
        <v>1920</v>
      </c>
      <c r="F8" s="174">
        <v>45764</v>
      </c>
      <c r="G8" s="174"/>
      <c r="H8" s="167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15.75" customHeight="1">
      <c r="A9" s="167" t="s">
        <v>77</v>
      </c>
      <c r="B9" s="167">
        <v>20250367</v>
      </c>
      <c r="C9" s="167" t="s">
        <v>82</v>
      </c>
      <c r="D9" s="172">
        <v>315</v>
      </c>
      <c r="E9" s="172">
        <f t="shared" si="0"/>
        <v>1260</v>
      </c>
      <c r="F9" s="174">
        <v>45799</v>
      </c>
      <c r="G9" s="174"/>
      <c r="H9" s="176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5.75" customHeight="1">
      <c r="A10" s="167" t="s">
        <v>77</v>
      </c>
      <c r="B10" s="167">
        <v>20250720</v>
      </c>
      <c r="C10" s="167" t="s">
        <v>82</v>
      </c>
      <c r="D10" s="172">
        <v>1260</v>
      </c>
      <c r="E10" s="172">
        <f t="shared" si="0"/>
        <v>5040</v>
      </c>
      <c r="F10" s="174">
        <v>45833</v>
      </c>
      <c r="G10" s="174"/>
      <c r="H10" s="17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customHeight="1">
      <c r="A11" s="167" t="s">
        <v>77</v>
      </c>
      <c r="B11" s="167">
        <v>20250145</v>
      </c>
      <c r="C11" s="167" t="s">
        <v>84</v>
      </c>
      <c r="D11" s="172">
        <v>1330</v>
      </c>
      <c r="E11" s="172">
        <f t="shared" si="0"/>
        <v>5320</v>
      </c>
      <c r="F11" s="174">
        <v>45764</v>
      </c>
      <c r="G11" s="174"/>
      <c r="H11" s="17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5.75" customHeight="1">
      <c r="A12" s="167" t="s">
        <v>85</v>
      </c>
      <c r="B12" s="167">
        <v>20250452</v>
      </c>
      <c r="C12" s="167" t="s">
        <v>86</v>
      </c>
      <c r="D12" s="172">
        <v>1728</v>
      </c>
      <c r="E12" s="172">
        <f t="shared" si="0"/>
        <v>6912</v>
      </c>
      <c r="F12" s="174">
        <v>45799</v>
      </c>
      <c r="G12" s="174"/>
      <c r="H12" s="17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.75" customHeight="1">
      <c r="A13" s="167" t="s">
        <v>85</v>
      </c>
      <c r="B13" s="167">
        <v>20250452</v>
      </c>
      <c r="C13" s="167" t="s">
        <v>72</v>
      </c>
      <c r="D13" s="172">
        <v>2935</v>
      </c>
      <c r="E13" s="172">
        <f t="shared" si="0"/>
        <v>11740</v>
      </c>
      <c r="F13" s="174">
        <v>45799</v>
      </c>
      <c r="G13" s="174"/>
      <c r="H13" s="17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15.75" customHeight="1">
      <c r="A14" s="167" t="s">
        <v>85</v>
      </c>
      <c r="B14" s="167">
        <v>20250701</v>
      </c>
      <c r="C14" s="167" t="s">
        <v>72</v>
      </c>
      <c r="D14" s="172">
        <v>1535</v>
      </c>
      <c r="E14" s="172">
        <f t="shared" si="0"/>
        <v>6140</v>
      </c>
      <c r="F14" s="174">
        <v>45887</v>
      </c>
      <c r="G14" s="174"/>
      <c r="H14" s="17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5.75" customHeight="1">
      <c r="A15" s="167" t="s">
        <v>87</v>
      </c>
      <c r="B15" s="167">
        <v>20250701</v>
      </c>
      <c r="C15" s="167" t="s">
        <v>88</v>
      </c>
      <c r="D15" s="172">
        <v>1296</v>
      </c>
      <c r="E15" s="172">
        <f t="shared" si="0"/>
        <v>5184</v>
      </c>
      <c r="F15" s="174">
        <v>45887</v>
      </c>
      <c r="G15" s="174"/>
      <c r="H15" s="17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15.75" customHeight="1">
      <c r="A16" s="167" t="s">
        <v>87</v>
      </c>
      <c r="B16" s="167">
        <v>20250891</v>
      </c>
      <c r="C16" s="167" t="s">
        <v>88</v>
      </c>
      <c r="D16" s="172">
        <v>288</v>
      </c>
      <c r="E16" s="172">
        <f t="shared" si="0"/>
        <v>1152</v>
      </c>
      <c r="F16" s="174">
        <v>45894</v>
      </c>
      <c r="G16" s="174"/>
      <c r="H16" s="17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ht="15.75" customHeight="1">
      <c r="A17" s="167" t="s">
        <v>87</v>
      </c>
      <c r="B17" s="167">
        <v>20250452</v>
      </c>
      <c r="C17" s="167" t="s">
        <v>86</v>
      </c>
      <c r="D17" s="172">
        <v>729</v>
      </c>
      <c r="E17" s="172">
        <f t="shared" si="0"/>
        <v>2916</v>
      </c>
      <c r="F17" s="174">
        <v>45799</v>
      </c>
      <c r="G17" s="174"/>
      <c r="H17" s="17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ht="15.75" customHeight="1">
      <c r="A18" s="167" t="s">
        <v>87</v>
      </c>
      <c r="B18" s="167">
        <v>20250891</v>
      </c>
      <c r="C18" s="167" t="s">
        <v>86</v>
      </c>
      <c r="D18" s="172">
        <v>950</v>
      </c>
      <c r="E18" s="172">
        <f t="shared" si="0"/>
        <v>3800</v>
      </c>
      <c r="F18" s="174">
        <v>45894</v>
      </c>
      <c r="G18" s="174"/>
      <c r="H18" s="17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5.75" customHeight="1">
      <c r="A19" s="167" t="s">
        <v>89</v>
      </c>
      <c r="B19" s="167">
        <v>20250720</v>
      </c>
      <c r="C19" s="167" t="s">
        <v>79</v>
      </c>
      <c r="D19" s="172">
        <v>1914</v>
      </c>
      <c r="E19" s="172">
        <f t="shared" si="0"/>
        <v>7656</v>
      </c>
      <c r="F19" s="174">
        <v>45833</v>
      </c>
      <c r="G19" s="174"/>
      <c r="H19" s="16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ht="15.75" customHeight="1">
      <c r="A20" s="167" t="s">
        <v>89</v>
      </c>
      <c r="B20" s="167">
        <v>20250720</v>
      </c>
      <c r="C20" s="167" t="s">
        <v>82</v>
      </c>
      <c r="D20" s="172">
        <v>2304</v>
      </c>
      <c r="E20" s="172">
        <f t="shared" si="0"/>
        <v>9216</v>
      </c>
      <c r="F20" s="174">
        <v>45833</v>
      </c>
      <c r="G20" s="174"/>
      <c r="H20" s="16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ht="15.75" customHeight="1">
      <c r="A21" s="167" t="s">
        <v>89</v>
      </c>
      <c r="B21" s="167">
        <v>20250720</v>
      </c>
      <c r="C21" s="167" t="s">
        <v>82</v>
      </c>
      <c r="D21" s="172">
        <v>131</v>
      </c>
      <c r="E21" s="172">
        <f t="shared" si="0"/>
        <v>524</v>
      </c>
      <c r="F21" s="174">
        <v>45833</v>
      </c>
      <c r="G21" s="174"/>
      <c r="H21" s="16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15.75" customHeight="1">
      <c r="A22" s="167" t="s">
        <v>90</v>
      </c>
      <c r="B22" s="167">
        <v>20250891</v>
      </c>
      <c r="C22" s="167" t="s">
        <v>86</v>
      </c>
      <c r="D22" s="172">
        <v>1584</v>
      </c>
      <c r="E22" s="172">
        <f t="shared" si="0"/>
        <v>6336</v>
      </c>
      <c r="F22" s="174">
        <v>45894</v>
      </c>
      <c r="G22" s="174"/>
      <c r="H22" s="17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ht="15.75" customHeight="1">
      <c r="A23" s="167" t="s">
        <v>90</v>
      </c>
      <c r="B23" s="167">
        <v>20250891</v>
      </c>
      <c r="C23" s="167" t="s">
        <v>88</v>
      </c>
      <c r="D23" s="172">
        <v>1534</v>
      </c>
      <c r="E23" s="172">
        <f t="shared" si="0"/>
        <v>6136</v>
      </c>
      <c r="F23" s="174">
        <v>45894</v>
      </c>
      <c r="G23" s="174"/>
      <c r="H23" s="16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15.75" customHeight="1">
      <c r="A24" s="167" t="s">
        <v>94</v>
      </c>
      <c r="B24" s="167">
        <v>20250960</v>
      </c>
      <c r="C24" s="167" t="s">
        <v>82</v>
      </c>
      <c r="D24" s="172">
        <v>8640</v>
      </c>
      <c r="E24" s="172">
        <f t="shared" si="0"/>
        <v>34560</v>
      </c>
      <c r="F24" s="174">
        <v>45870</v>
      </c>
      <c r="G24" s="174"/>
      <c r="H24" s="16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ht="15.75" customHeight="1">
      <c r="A25" s="167" t="s">
        <v>94</v>
      </c>
      <c r="B25" s="167">
        <v>20250872</v>
      </c>
      <c r="C25" s="167" t="s">
        <v>84</v>
      </c>
      <c r="D25" s="172">
        <v>4608</v>
      </c>
      <c r="E25" s="172">
        <f t="shared" si="0"/>
        <v>18432</v>
      </c>
      <c r="F25" s="174">
        <v>45859</v>
      </c>
      <c r="G25" s="174"/>
      <c r="H25" s="16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5.75" customHeight="1">
      <c r="A26" s="167" t="s">
        <v>94</v>
      </c>
      <c r="B26" s="167">
        <v>20250960</v>
      </c>
      <c r="C26" s="167" t="s">
        <v>84</v>
      </c>
      <c r="D26" s="172">
        <v>576</v>
      </c>
      <c r="E26" s="172">
        <f t="shared" si="0"/>
        <v>2304</v>
      </c>
      <c r="F26" s="174">
        <v>45870</v>
      </c>
      <c r="G26" s="174"/>
      <c r="H26" s="16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5.75" customHeight="1">
      <c r="A27" s="167" t="s">
        <v>100</v>
      </c>
      <c r="B27" s="167">
        <v>20251027</v>
      </c>
      <c r="C27" s="167" t="s">
        <v>86</v>
      </c>
      <c r="D27" s="172">
        <v>1584</v>
      </c>
      <c r="E27" s="172">
        <f t="shared" si="0"/>
        <v>6336</v>
      </c>
      <c r="F27" s="174">
        <v>45894</v>
      </c>
      <c r="G27" s="174"/>
      <c r="H27" s="16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5.75" customHeight="1">
      <c r="A28" s="167" t="s">
        <v>100</v>
      </c>
      <c r="B28" s="167">
        <v>20251027</v>
      </c>
      <c r="C28" s="167" t="s">
        <v>72</v>
      </c>
      <c r="D28" s="172">
        <v>1524</v>
      </c>
      <c r="E28" s="172">
        <f t="shared" si="0"/>
        <v>6096</v>
      </c>
      <c r="F28" s="174">
        <v>45894</v>
      </c>
      <c r="G28" s="174"/>
      <c r="H28" s="16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5.75" customHeight="1">
      <c r="A29" s="167" t="s">
        <v>104</v>
      </c>
      <c r="B29" s="167">
        <v>20251001</v>
      </c>
      <c r="C29" s="167" t="s">
        <v>79</v>
      </c>
      <c r="D29" s="172">
        <v>384</v>
      </c>
      <c r="E29" s="172">
        <f t="shared" si="0"/>
        <v>1536</v>
      </c>
      <c r="F29" s="174">
        <v>45880</v>
      </c>
      <c r="G29" s="174"/>
      <c r="H29" s="16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5.75" customHeight="1">
      <c r="A30" s="167" t="s">
        <v>104</v>
      </c>
      <c r="B30" s="167">
        <v>20251001</v>
      </c>
      <c r="C30" s="167" t="s">
        <v>82</v>
      </c>
      <c r="D30" s="172">
        <v>2400</v>
      </c>
      <c r="E30" s="172">
        <f t="shared" si="0"/>
        <v>9600</v>
      </c>
      <c r="F30" s="174">
        <v>45880</v>
      </c>
      <c r="G30" s="174"/>
      <c r="H30" s="16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5.75" customHeight="1">
      <c r="A31" s="167" t="s">
        <v>104</v>
      </c>
      <c r="B31" s="167">
        <v>20251001</v>
      </c>
      <c r="C31" s="167" t="s">
        <v>84</v>
      </c>
      <c r="D31" s="172">
        <v>1737</v>
      </c>
      <c r="E31" s="172">
        <f t="shared" si="0"/>
        <v>6948</v>
      </c>
      <c r="F31" s="174">
        <v>45880</v>
      </c>
      <c r="G31" s="174"/>
      <c r="H31" s="16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5.75" customHeight="1">
      <c r="A32" s="167" t="s">
        <v>106</v>
      </c>
      <c r="B32" s="167">
        <v>20251337</v>
      </c>
      <c r="C32" s="167" t="s">
        <v>86</v>
      </c>
      <c r="D32" s="172">
        <v>1487</v>
      </c>
      <c r="E32" s="172">
        <f t="shared" si="0"/>
        <v>5948</v>
      </c>
      <c r="F32" s="174">
        <v>45926</v>
      </c>
      <c r="G32" s="174"/>
      <c r="H32" s="16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5.75" customHeight="1">
      <c r="A33" s="167" t="s">
        <v>106</v>
      </c>
      <c r="B33" s="167">
        <v>20251442</v>
      </c>
      <c r="C33" s="167" t="s">
        <v>86</v>
      </c>
      <c r="D33" s="172">
        <v>144</v>
      </c>
      <c r="E33" s="172">
        <f t="shared" si="0"/>
        <v>576</v>
      </c>
      <c r="F33" s="174">
        <v>45931</v>
      </c>
      <c r="G33" s="174"/>
      <c r="H33" s="16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5.75" customHeight="1">
      <c r="A34" s="167" t="s">
        <v>106</v>
      </c>
      <c r="B34" s="167">
        <v>20251240</v>
      </c>
      <c r="C34" s="167" t="s">
        <v>86</v>
      </c>
      <c r="D34" s="172">
        <v>112</v>
      </c>
      <c r="E34" s="172">
        <f t="shared" si="0"/>
        <v>448</v>
      </c>
      <c r="F34" s="174">
        <v>45866</v>
      </c>
      <c r="G34" s="174"/>
      <c r="H34" s="16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5.75" customHeight="1">
      <c r="A35" s="167" t="s">
        <v>106</v>
      </c>
      <c r="B35" s="167">
        <v>20251337</v>
      </c>
      <c r="C35" s="167" t="s">
        <v>72</v>
      </c>
      <c r="D35" s="172">
        <v>1637</v>
      </c>
      <c r="E35" s="172">
        <f t="shared" si="0"/>
        <v>6548</v>
      </c>
      <c r="F35" s="174">
        <v>45926</v>
      </c>
      <c r="G35" s="174"/>
      <c r="H35" s="16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5.75" customHeight="1">
      <c r="A36" s="167" t="s">
        <v>106</v>
      </c>
      <c r="B36" s="167">
        <v>20251090</v>
      </c>
      <c r="C36" s="167" t="s">
        <v>72</v>
      </c>
      <c r="D36" s="172">
        <v>1440</v>
      </c>
      <c r="E36" s="172">
        <f t="shared" si="0"/>
        <v>5760</v>
      </c>
      <c r="F36" s="174">
        <v>45905</v>
      </c>
      <c r="G36" s="174"/>
      <c r="H36" s="17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5.75" customHeight="1">
      <c r="A37" s="167" t="s">
        <v>108</v>
      </c>
      <c r="B37" s="167">
        <v>20251352</v>
      </c>
      <c r="C37" s="167" t="s">
        <v>82</v>
      </c>
      <c r="D37" s="172">
        <v>2304</v>
      </c>
      <c r="E37" s="172">
        <f t="shared" si="0"/>
        <v>9216</v>
      </c>
      <c r="F37" s="174">
        <v>45909</v>
      </c>
      <c r="G37" s="174"/>
      <c r="H37" s="17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2.75">
      <c r="A38" s="167" t="s">
        <v>109</v>
      </c>
      <c r="B38" s="167">
        <v>20251442</v>
      </c>
      <c r="C38" s="167" t="s">
        <v>86</v>
      </c>
      <c r="D38" s="172">
        <v>1440</v>
      </c>
      <c r="E38" s="172">
        <f t="shared" si="0"/>
        <v>5760</v>
      </c>
      <c r="F38" s="174">
        <v>45931</v>
      </c>
      <c r="G38" s="174"/>
      <c r="H38" s="17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2.75">
      <c r="A39" s="167" t="s">
        <v>109</v>
      </c>
      <c r="B39" s="167">
        <v>20251735</v>
      </c>
      <c r="C39" s="167" t="s">
        <v>86</v>
      </c>
      <c r="D39" s="172">
        <v>108</v>
      </c>
      <c r="E39" s="172">
        <f t="shared" si="0"/>
        <v>432</v>
      </c>
      <c r="F39" s="174">
        <v>45980</v>
      </c>
      <c r="G39" s="174"/>
      <c r="H39" s="17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4.25">
      <c r="A40" s="167" t="s">
        <v>109</v>
      </c>
      <c r="B40" s="167">
        <v>20251442</v>
      </c>
      <c r="C40" s="167" t="s">
        <v>88</v>
      </c>
      <c r="D40" s="172">
        <v>1553</v>
      </c>
      <c r="E40" s="172">
        <f t="shared" si="0"/>
        <v>6212</v>
      </c>
      <c r="F40" s="174">
        <v>45931</v>
      </c>
      <c r="G40" s="174"/>
      <c r="H40" s="176"/>
      <c r="I40" s="162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2.75">
      <c r="A41" s="167" t="s">
        <v>111</v>
      </c>
      <c r="B41" s="167">
        <v>20251564</v>
      </c>
      <c r="C41" s="167" t="s">
        <v>82</v>
      </c>
      <c r="D41" s="172">
        <v>4128</v>
      </c>
      <c r="E41" s="172">
        <f t="shared" si="0"/>
        <v>16512</v>
      </c>
      <c r="F41" s="174">
        <v>45953</v>
      </c>
      <c r="G41" s="174"/>
      <c r="H41" s="17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2.75">
      <c r="A42" s="167" t="s">
        <v>111</v>
      </c>
      <c r="B42" s="167">
        <v>20251511</v>
      </c>
      <c r="C42" s="167" t="s">
        <v>82</v>
      </c>
      <c r="D42" s="172">
        <v>480</v>
      </c>
      <c r="E42" s="172">
        <f t="shared" si="0"/>
        <v>1920</v>
      </c>
      <c r="F42" s="174">
        <v>45894</v>
      </c>
      <c r="G42" s="174"/>
      <c r="H42" s="17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2.75">
      <c r="A43" s="167" t="s">
        <v>112</v>
      </c>
      <c r="B43" s="167">
        <v>20251735</v>
      </c>
      <c r="C43" s="167" t="s">
        <v>72</v>
      </c>
      <c r="D43" s="172">
        <v>1518</v>
      </c>
      <c r="E43" s="172">
        <f t="shared" si="0"/>
        <v>6072</v>
      </c>
      <c r="F43" s="174">
        <v>45980</v>
      </c>
      <c r="G43" s="174"/>
      <c r="H43" s="16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2.75">
      <c r="A44" s="167" t="s">
        <v>113</v>
      </c>
      <c r="B44" s="167">
        <v>20251639</v>
      </c>
      <c r="C44" s="167" t="s">
        <v>82</v>
      </c>
      <c r="D44" s="172">
        <v>6075</v>
      </c>
      <c r="E44" s="172">
        <f t="shared" si="0"/>
        <v>24300</v>
      </c>
      <c r="F44" s="174">
        <v>45975</v>
      </c>
      <c r="G44" s="174"/>
      <c r="H44" s="17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2.75">
      <c r="A45" s="167" t="s">
        <v>113</v>
      </c>
      <c r="B45" s="167">
        <v>20251639</v>
      </c>
      <c r="C45" s="167" t="s">
        <v>84</v>
      </c>
      <c r="D45" s="172">
        <v>3108</v>
      </c>
      <c r="E45" s="172">
        <f t="shared" si="0"/>
        <v>12432</v>
      </c>
      <c r="F45" s="174">
        <v>45975</v>
      </c>
      <c r="G45" s="174"/>
      <c r="H45" s="17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2.75">
      <c r="A46" s="167" t="s">
        <v>113</v>
      </c>
      <c r="B46" s="167">
        <v>20251639</v>
      </c>
      <c r="C46" s="167" t="s">
        <v>79</v>
      </c>
      <c r="D46" s="172">
        <v>2208</v>
      </c>
      <c r="E46" s="172">
        <f t="shared" si="0"/>
        <v>8832</v>
      </c>
      <c r="F46" s="174">
        <v>45975</v>
      </c>
      <c r="G46" s="174"/>
      <c r="H46" s="17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ht="12.75">
      <c r="A47" s="167" t="s">
        <v>113</v>
      </c>
      <c r="B47" s="167">
        <v>20251977</v>
      </c>
      <c r="C47" s="167" t="s">
        <v>79</v>
      </c>
      <c r="D47" s="172">
        <v>58</v>
      </c>
      <c r="E47" s="172">
        <f t="shared" si="0"/>
        <v>232</v>
      </c>
      <c r="F47" s="174"/>
      <c r="G47" s="174"/>
      <c r="H47" s="17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2.75">
      <c r="A48" s="167" t="s">
        <v>114</v>
      </c>
      <c r="B48" s="167">
        <v>20252008</v>
      </c>
      <c r="C48" s="167" t="s">
        <v>72</v>
      </c>
      <c r="D48" s="172">
        <v>1872</v>
      </c>
      <c r="E48" s="172">
        <f t="shared" si="0"/>
        <v>7488</v>
      </c>
      <c r="F48" s="174"/>
      <c r="G48" s="174"/>
      <c r="H48" s="17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ht="12.75">
      <c r="A49" s="167" t="s">
        <v>114</v>
      </c>
      <c r="B49" s="167">
        <v>20252008</v>
      </c>
      <c r="C49" s="167" t="s">
        <v>86</v>
      </c>
      <c r="D49" s="172">
        <v>1296</v>
      </c>
      <c r="E49" s="172">
        <f t="shared" si="0"/>
        <v>5184</v>
      </c>
      <c r="F49" s="174"/>
      <c r="G49" s="174"/>
      <c r="H49" s="17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2.75">
      <c r="A50" s="167" t="s">
        <v>114</v>
      </c>
      <c r="B50" s="167">
        <v>20252190</v>
      </c>
      <c r="C50" s="167" t="s">
        <v>86</v>
      </c>
      <c r="D50" s="172">
        <v>288</v>
      </c>
      <c r="E50" s="172">
        <f t="shared" si="0"/>
        <v>1152</v>
      </c>
      <c r="F50" s="174"/>
      <c r="G50" s="174"/>
      <c r="H50" s="17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12.75">
      <c r="A51" s="167" t="s">
        <v>114</v>
      </c>
      <c r="B51" s="167">
        <v>20252263</v>
      </c>
      <c r="C51" s="167" t="s">
        <v>86</v>
      </c>
      <c r="D51" s="172">
        <v>267</v>
      </c>
      <c r="E51" s="172">
        <f t="shared" si="0"/>
        <v>1068</v>
      </c>
      <c r="F51" s="174">
        <v>45996</v>
      </c>
      <c r="G51" s="174"/>
      <c r="H51" s="17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2.75">
      <c r="A52" s="167" t="s">
        <v>115</v>
      </c>
      <c r="B52" s="167">
        <v>20251977</v>
      </c>
      <c r="C52" s="167" t="s">
        <v>82</v>
      </c>
      <c r="D52" s="172">
        <v>5063</v>
      </c>
      <c r="E52" s="172">
        <f t="shared" si="0"/>
        <v>20252</v>
      </c>
      <c r="F52" s="174"/>
      <c r="G52" s="174"/>
      <c r="H52" s="17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ht="12.75">
      <c r="A53" s="195" t="s">
        <v>115</v>
      </c>
      <c r="B53" s="167">
        <v>20251977</v>
      </c>
      <c r="C53" s="167" t="s">
        <v>84</v>
      </c>
      <c r="D53" s="172">
        <v>1536</v>
      </c>
      <c r="E53" s="172">
        <f t="shared" si="0"/>
        <v>6144</v>
      </c>
      <c r="F53" s="174"/>
      <c r="G53" s="174"/>
      <c r="H53" s="17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2.75">
      <c r="A54" s="195" t="s">
        <v>116</v>
      </c>
      <c r="B54" s="167">
        <v>20252329</v>
      </c>
      <c r="C54" s="167" t="s">
        <v>117</v>
      </c>
      <c r="D54" s="172">
        <v>576</v>
      </c>
      <c r="E54" s="172">
        <f t="shared" si="0"/>
        <v>6912</v>
      </c>
      <c r="F54" s="174"/>
      <c r="G54" s="174"/>
      <c r="H54" s="17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2.75">
      <c r="A55" s="195" t="s">
        <v>116</v>
      </c>
      <c r="B55" s="167">
        <v>20252328</v>
      </c>
      <c r="C55" s="167" t="s">
        <v>117</v>
      </c>
      <c r="D55" s="172">
        <v>434</v>
      </c>
      <c r="E55" s="172">
        <f t="shared" si="0"/>
        <v>5208</v>
      </c>
      <c r="F55" s="174"/>
      <c r="G55" s="174"/>
      <c r="H55" s="17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2.75">
      <c r="A56" s="195" t="s">
        <v>118</v>
      </c>
      <c r="B56" s="167">
        <v>20252190</v>
      </c>
      <c r="C56" s="167" t="s">
        <v>72</v>
      </c>
      <c r="D56" s="172">
        <v>2880</v>
      </c>
      <c r="E56" s="172">
        <f t="shared" si="0"/>
        <v>11520</v>
      </c>
      <c r="F56" s="174"/>
      <c r="G56" s="174"/>
      <c r="H56" s="17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2.75">
      <c r="A57" s="195" t="s">
        <v>120</v>
      </c>
      <c r="B57" s="167">
        <v>20252282</v>
      </c>
      <c r="C57" s="167" t="s">
        <v>82</v>
      </c>
      <c r="D57" s="172">
        <v>10080</v>
      </c>
      <c r="E57" s="172">
        <f t="shared" si="0"/>
        <v>40320</v>
      </c>
      <c r="F57" s="174"/>
      <c r="G57" s="174"/>
      <c r="H57" s="17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2.75">
      <c r="A58" s="195" t="s">
        <v>120</v>
      </c>
      <c r="B58" s="167">
        <v>20252328</v>
      </c>
      <c r="C58" s="167" t="s">
        <v>82</v>
      </c>
      <c r="D58" s="172">
        <v>960</v>
      </c>
      <c r="E58" s="172">
        <f t="shared" si="0"/>
        <v>3840</v>
      </c>
      <c r="F58" s="174"/>
      <c r="G58" s="174"/>
      <c r="H58" s="17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ht="12.75">
      <c r="A59" s="195" t="s">
        <v>120</v>
      </c>
      <c r="B59" s="167">
        <v>20252194</v>
      </c>
      <c r="C59" s="167" t="s">
        <v>84</v>
      </c>
      <c r="D59" s="172">
        <v>4608</v>
      </c>
      <c r="E59" s="172">
        <f t="shared" si="0"/>
        <v>18432</v>
      </c>
      <c r="F59" s="174"/>
      <c r="G59" s="174"/>
      <c r="H59" s="17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2.75">
      <c r="A60" s="195" t="s">
        <v>120</v>
      </c>
      <c r="B60" s="167">
        <v>20252282</v>
      </c>
      <c r="C60" s="167" t="s">
        <v>84</v>
      </c>
      <c r="D60" s="172">
        <v>1440</v>
      </c>
      <c r="E60" s="172">
        <f t="shared" si="0"/>
        <v>5760</v>
      </c>
      <c r="F60" s="174"/>
      <c r="G60" s="174"/>
      <c r="H60" s="17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ht="12.75">
      <c r="A61" s="195" t="s">
        <v>122</v>
      </c>
      <c r="B61" s="167">
        <v>20252459</v>
      </c>
      <c r="C61" s="167" t="s">
        <v>82</v>
      </c>
      <c r="D61" s="172">
        <v>5952</v>
      </c>
      <c r="E61" s="172">
        <f t="shared" si="0"/>
        <v>23808</v>
      </c>
      <c r="F61" s="174"/>
      <c r="G61" s="174"/>
      <c r="H61" s="17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ht="12.75">
      <c r="A62" s="195" t="s">
        <v>122</v>
      </c>
      <c r="B62" s="167">
        <v>20252459</v>
      </c>
      <c r="C62" s="167" t="s">
        <v>84</v>
      </c>
      <c r="D62" s="172">
        <v>672</v>
      </c>
      <c r="E62" s="172">
        <f t="shared" si="0"/>
        <v>2688</v>
      </c>
      <c r="F62" s="174"/>
      <c r="G62" s="174"/>
      <c r="H62" s="17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ht="12.75">
      <c r="A63" s="195" t="s">
        <v>122</v>
      </c>
      <c r="B63" s="167">
        <v>20252545</v>
      </c>
      <c r="C63" s="167" t="s">
        <v>84</v>
      </c>
      <c r="D63" s="172">
        <v>2237</v>
      </c>
      <c r="E63" s="172">
        <f t="shared" si="0"/>
        <v>8948</v>
      </c>
      <c r="F63" s="174"/>
      <c r="G63" s="174"/>
      <c r="H63" s="17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ht="12.75">
      <c r="A64" s="195" t="s">
        <v>122</v>
      </c>
      <c r="B64" s="167">
        <v>20252541</v>
      </c>
      <c r="C64" s="167" t="s">
        <v>84</v>
      </c>
      <c r="D64" s="172">
        <v>93</v>
      </c>
      <c r="E64" s="172">
        <f t="shared" si="0"/>
        <v>372</v>
      </c>
      <c r="F64" s="174"/>
      <c r="G64" s="174"/>
      <c r="H64" s="17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ht="12.75">
      <c r="A65" s="195" t="s">
        <v>123</v>
      </c>
      <c r="B65" s="167">
        <v>20252514</v>
      </c>
      <c r="C65" s="167" t="s">
        <v>72</v>
      </c>
      <c r="D65" s="172">
        <v>2987</v>
      </c>
      <c r="E65" s="172">
        <f t="shared" si="0"/>
        <v>11948</v>
      </c>
      <c r="F65" s="174"/>
      <c r="G65" s="174"/>
      <c r="H65" s="17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2.75">
      <c r="A66" s="195" t="s">
        <v>122</v>
      </c>
      <c r="B66" s="167">
        <v>20252545</v>
      </c>
      <c r="C66" s="167" t="s">
        <v>82</v>
      </c>
      <c r="D66" s="172">
        <v>4430</v>
      </c>
      <c r="E66" s="172">
        <f t="shared" si="0"/>
        <v>17720</v>
      </c>
      <c r="F66" s="174"/>
      <c r="G66" s="174"/>
      <c r="H66" s="17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ht="12.75">
      <c r="A67" s="195" t="s">
        <v>122</v>
      </c>
      <c r="B67" s="167">
        <v>20252545</v>
      </c>
      <c r="C67" s="167" t="s">
        <v>84</v>
      </c>
      <c r="D67" s="172">
        <v>2304</v>
      </c>
      <c r="E67" s="172">
        <f t="shared" si="0"/>
        <v>9216</v>
      </c>
      <c r="F67" s="174"/>
      <c r="G67" s="174"/>
      <c r="H67" s="17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ht="12.75">
      <c r="A68" s="195" t="s">
        <v>122</v>
      </c>
      <c r="B68" s="167">
        <v>20252545</v>
      </c>
      <c r="C68" s="167" t="s">
        <v>79</v>
      </c>
      <c r="D68" s="172">
        <v>2291</v>
      </c>
      <c r="E68" s="172">
        <f t="shared" si="0"/>
        <v>9164</v>
      </c>
      <c r="F68" s="174"/>
      <c r="G68" s="174"/>
      <c r="H68" s="17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ht="12.75">
      <c r="A69" s="195" t="s">
        <v>122</v>
      </c>
      <c r="B69" s="167">
        <v>20252541</v>
      </c>
      <c r="C69" s="167" t="s">
        <v>79</v>
      </c>
      <c r="D69" s="172">
        <v>381</v>
      </c>
      <c r="E69" s="172">
        <f t="shared" si="0"/>
        <v>1524</v>
      </c>
      <c r="F69" s="174"/>
      <c r="G69" s="174"/>
      <c r="H69" s="17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ht="12.75">
      <c r="A70" s="195" t="s">
        <v>125</v>
      </c>
      <c r="B70" s="167"/>
      <c r="C70" s="167" t="s">
        <v>117</v>
      </c>
      <c r="D70" s="172">
        <v>1000</v>
      </c>
      <c r="E70" s="172">
        <f t="shared" si="0"/>
        <v>12000</v>
      </c>
      <c r="F70" s="174"/>
      <c r="G70" s="174"/>
      <c r="H70" s="17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ht="12.75">
      <c r="A71" s="195" t="s">
        <v>126</v>
      </c>
      <c r="B71" s="167"/>
      <c r="C71" s="167" t="s">
        <v>72</v>
      </c>
      <c r="D71" s="172">
        <v>4752</v>
      </c>
      <c r="E71" s="172">
        <f t="shared" si="0"/>
        <v>19008</v>
      </c>
      <c r="F71" s="174"/>
      <c r="G71" s="174"/>
      <c r="H71" s="17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ht="12.75">
      <c r="A72" s="195" t="s">
        <v>126</v>
      </c>
      <c r="B72" s="167"/>
      <c r="C72" s="167" t="s">
        <v>72</v>
      </c>
      <c r="D72" s="172">
        <v>3168</v>
      </c>
      <c r="E72" s="172">
        <f t="shared" si="0"/>
        <v>12672</v>
      </c>
      <c r="F72" s="174"/>
      <c r="G72" s="174"/>
      <c r="H72" s="17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ht="12.75">
      <c r="A73" s="195" t="s">
        <v>126</v>
      </c>
      <c r="B73" s="167"/>
      <c r="C73" s="167" t="s">
        <v>86</v>
      </c>
      <c r="D73" s="172">
        <v>1584</v>
      </c>
      <c r="E73" s="172">
        <f t="shared" si="0"/>
        <v>6336</v>
      </c>
      <c r="F73" s="174"/>
      <c r="G73" s="174"/>
      <c r="H73" s="17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ht="12.75">
      <c r="A74" s="195" t="s">
        <v>128</v>
      </c>
      <c r="B74" s="167"/>
      <c r="C74" s="167" t="s">
        <v>82</v>
      </c>
      <c r="D74" s="172">
        <v>9216</v>
      </c>
      <c r="E74" s="172">
        <f t="shared" si="0"/>
        <v>36864</v>
      </c>
      <c r="F74" s="174"/>
      <c r="G74" s="174"/>
      <c r="H74" s="17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12.75">
      <c r="A75" s="195" t="s">
        <v>128</v>
      </c>
      <c r="B75" s="167"/>
      <c r="C75" s="167" t="s">
        <v>84</v>
      </c>
      <c r="D75" s="172">
        <v>2304</v>
      </c>
      <c r="E75" s="172">
        <f t="shared" si="0"/>
        <v>9216</v>
      </c>
      <c r="F75" s="174"/>
      <c r="G75" s="174"/>
      <c r="H75" s="17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12.75">
      <c r="A76" s="195" t="s">
        <v>129</v>
      </c>
      <c r="B76" s="167"/>
      <c r="C76" s="167" t="s">
        <v>72</v>
      </c>
      <c r="D76" s="172">
        <v>2736</v>
      </c>
      <c r="E76" s="172">
        <f t="shared" si="0"/>
        <v>10944</v>
      </c>
      <c r="F76" s="174"/>
      <c r="G76" s="174"/>
      <c r="H76" s="17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ht="12.75">
      <c r="A77" s="195" t="s">
        <v>129</v>
      </c>
      <c r="B77" s="167"/>
      <c r="C77" s="167" t="s">
        <v>86</v>
      </c>
      <c r="D77" s="172">
        <v>1775</v>
      </c>
      <c r="E77" s="172">
        <f t="shared" si="0"/>
        <v>7100</v>
      </c>
      <c r="F77" s="174"/>
      <c r="G77" s="174"/>
      <c r="H77" s="17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ht="12.75">
      <c r="A78" s="195" t="s">
        <v>129</v>
      </c>
      <c r="B78" s="167"/>
      <c r="C78" s="167" t="s">
        <v>88</v>
      </c>
      <c r="D78" s="172">
        <v>1728</v>
      </c>
      <c r="E78" s="172">
        <f t="shared" si="0"/>
        <v>6912</v>
      </c>
      <c r="F78" s="174"/>
      <c r="G78" s="174"/>
      <c r="H78" s="17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2.75">
      <c r="A79" s="195" t="s">
        <v>130</v>
      </c>
      <c r="B79" s="167"/>
      <c r="C79" s="167" t="s">
        <v>117</v>
      </c>
      <c r="D79" s="172">
        <v>1000</v>
      </c>
      <c r="E79" s="172">
        <f t="shared" si="0"/>
        <v>12000</v>
      </c>
      <c r="F79" s="174"/>
      <c r="G79" s="174"/>
      <c r="H79" s="17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ht="12.75">
      <c r="A80" s="8"/>
      <c r="B80" s="8"/>
      <c r="C80" s="8"/>
      <c r="D80" s="8"/>
      <c r="E80" s="206"/>
      <c r="F80" s="207"/>
      <c r="G80" s="20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2.75">
      <c r="A81" s="8"/>
      <c r="B81" s="8"/>
      <c r="C81" s="8"/>
      <c r="D81" s="8"/>
      <c r="E81" s="206"/>
      <c r="F81" s="207"/>
      <c r="G81" s="20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ht="12.75">
      <c r="A82" s="8"/>
      <c r="B82" s="8"/>
      <c r="C82" s="8"/>
      <c r="D82" s="8"/>
      <c r="E82" s="206"/>
      <c r="F82" s="207"/>
      <c r="G82" s="20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ht="12.75">
      <c r="A83" s="8"/>
      <c r="B83" s="8"/>
      <c r="C83" s="8"/>
      <c r="D83" s="8"/>
      <c r="E83" s="206"/>
      <c r="F83" s="207"/>
      <c r="G83" s="20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12.75">
      <c r="A84" s="8"/>
      <c r="B84" s="8"/>
      <c r="C84" s="8"/>
      <c r="D84" s="8"/>
      <c r="E84" s="206"/>
      <c r="F84" s="207"/>
      <c r="G84" s="20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ht="12.75">
      <c r="A85" s="8"/>
      <c r="B85" s="8"/>
      <c r="C85" s="8"/>
      <c r="D85" s="8"/>
      <c r="E85" s="206"/>
      <c r="F85" s="207"/>
      <c r="G85" s="20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12.75">
      <c r="A86" s="8"/>
      <c r="B86" s="8"/>
      <c r="C86" s="8"/>
      <c r="D86" s="8"/>
      <c r="E86" s="206"/>
      <c r="F86" s="207"/>
      <c r="G86" s="20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ht="12.75">
      <c r="A87" s="8"/>
      <c r="B87" s="8"/>
      <c r="C87" s="8"/>
      <c r="D87" s="8"/>
      <c r="E87" s="206"/>
      <c r="F87" s="207"/>
      <c r="G87" s="20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ht="12.75">
      <c r="A88" s="8"/>
      <c r="B88" s="8"/>
      <c r="C88" s="8"/>
      <c r="D88" s="8"/>
      <c r="E88" s="206"/>
      <c r="F88" s="207"/>
      <c r="G88" s="20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12.75">
      <c r="A89" s="8"/>
      <c r="B89" s="8"/>
      <c r="C89" s="8"/>
      <c r="D89" s="8"/>
      <c r="E89" s="206"/>
      <c r="F89" s="207"/>
      <c r="G89" s="20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ht="12.75">
      <c r="A90" s="8"/>
      <c r="B90" s="8"/>
      <c r="C90" s="8"/>
      <c r="D90" s="8"/>
      <c r="E90" s="206"/>
      <c r="F90" s="207"/>
      <c r="G90" s="20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2.75">
      <c r="A91" s="8"/>
      <c r="B91" s="8"/>
      <c r="C91" s="8"/>
      <c r="D91" s="8"/>
      <c r="E91" s="206"/>
      <c r="F91" s="207"/>
      <c r="G91" s="20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12.75">
      <c r="A92" s="8"/>
      <c r="B92" s="8"/>
      <c r="C92" s="8"/>
      <c r="D92" s="8"/>
      <c r="E92" s="206"/>
      <c r="F92" s="207"/>
      <c r="G92" s="20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12.75">
      <c r="A93" s="8"/>
      <c r="B93" s="8"/>
      <c r="C93" s="8"/>
      <c r="D93" s="8"/>
      <c r="E93" s="206"/>
      <c r="F93" s="207"/>
      <c r="G93" s="20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ht="12.75">
      <c r="A94" s="8"/>
      <c r="B94" s="8"/>
      <c r="C94" s="8"/>
      <c r="D94" s="8"/>
      <c r="E94" s="206"/>
      <c r="F94" s="207"/>
      <c r="G94" s="20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ht="12.75">
      <c r="A95" s="8"/>
      <c r="B95" s="8"/>
      <c r="C95" s="8"/>
      <c r="D95" s="8"/>
      <c r="E95" s="206"/>
      <c r="F95" s="207"/>
      <c r="G95" s="20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2.75">
      <c r="A96" s="8"/>
      <c r="B96" s="8"/>
      <c r="C96" s="8"/>
      <c r="D96" s="8"/>
      <c r="E96" s="206"/>
      <c r="F96" s="207"/>
      <c r="G96" s="20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ht="12.75">
      <c r="A97" s="8"/>
      <c r="B97" s="8"/>
      <c r="C97" s="8"/>
      <c r="D97" s="8"/>
      <c r="E97" s="206"/>
      <c r="F97" s="207"/>
      <c r="G97" s="20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ht="12.75">
      <c r="A98" s="8"/>
      <c r="B98" s="8"/>
      <c r="C98" s="8"/>
      <c r="D98" s="8"/>
      <c r="E98" s="206"/>
      <c r="F98" s="207"/>
      <c r="G98" s="20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ht="12.75">
      <c r="A99" s="8"/>
      <c r="B99" s="8"/>
      <c r="C99" s="8"/>
      <c r="D99" s="8"/>
      <c r="E99" s="206"/>
      <c r="F99" s="207"/>
      <c r="G99" s="20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2.75">
      <c r="A100" s="8"/>
      <c r="B100" s="8"/>
      <c r="C100" s="8"/>
      <c r="D100" s="8"/>
      <c r="E100" s="206"/>
      <c r="F100" s="207"/>
      <c r="G100" s="20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2.75">
      <c r="A101" s="8"/>
      <c r="B101" s="8"/>
      <c r="C101" s="8"/>
      <c r="D101" s="8"/>
      <c r="E101" s="206"/>
      <c r="F101" s="207"/>
      <c r="G101" s="20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2.75">
      <c r="A102" s="8"/>
      <c r="B102" s="8"/>
      <c r="C102" s="8"/>
      <c r="D102" s="8"/>
      <c r="E102" s="206"/>
      <c r="F102" s="207"/>
      <c r="G102" s="20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2.75">
      <c r="A103" s="8"/>
      <c r="B103" s="8"/>
      <c r="C103" s="8"/>
      <c r="D103" s="8"/>
      <c r="E103" s="206"/>
      <c r="F103" s="207"/>
      <c r="G103" s="20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2.75">
      <c r="A104" s="8"/>
      <c r="B104" s="8"/>
      <c r="C104" s="8"/>
      <c r="D104" s="8"/>
      <c r="E104" s="206"/>
      <c r="F104" s="207"/>
      <c r="G104" s="20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2.75">
      <c r="A105" s="8"/>
      <c r="B105" s="8"/>
      <c r="C105" s="8"/>
      <c r="D105" s="8"/>
      <c r="E105" s="206"/>
      <c r="F105" s="207"/>
      <c r="G105" s="20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2.75">
      <c r="A106" s="8"/>
      <c r="B106" s="8"/>
      <c r="C106" s="8"/>
      <c r="D106" s="8"/>
      <c r="E106" s="206"/>
      <c r="F106" s="207"/>
      <c r="G106" s="20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2.75">
      <c r="A107" s="8"/>
      <c r="B107" s="8"/>
      <c r="C107" s="8"/>
      <c r="D107" s="8"/>
      <c r="E107" s="206"/>
      <c r="F107" s="207"/>
      <c r="G107" s="20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2.75">
      <c r="A108" s="8"/>
      <c r="B108" s="8"/>
      <c r="C108" s="8"/>
      <c r="D108" s="8"/>
      <c r="E108" s="206"/>
      <c r="F108" s="207"/>
      <c r="G108" s="20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2.75">
      <c r="A109" s="8"/>
      <c r="B109" s="8"/>
      <c r="C109" s="8"/>
      <c r="D109" s="8"/>
      <c r="E109" s="206"/>
      <c r="F109" s="207"/>
      <c r="G109" s="20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2.75">
      <c r="A110" s="8"/>
      <c r="B110" s="8"/>
      <c r="C110" s="8"/>
      <c r="D110" s="8"/>
      <c r="E110" s="206"/>
      <c r="F110" s="207"/>
      <c r="G110" s="20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2.75">
      <c r="A111" s="8"/>
      <c r="B111" s="8"/>
      <c r="C111" s="8"/>
      <c r="D111" s="8"/>
      <c r="E111" s="206"/>
      <c r="F111" s="207"/>
      <c r="G111" s="20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2.75">
      <c r="A112" s="8"/>
      <c r="B112" s="8"/>
      <c r="C112" s="8"/>
      <c r="D112" s="8"/>
      <c r="E112" s="206"/>
      <c r="F112" s="207"/>
      <c r="G112" s="20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2.75">
      <c r="A113" s="8"/>
      <c r="B113" s="8"/>
      <c r="C113" s="8"/>
      <c r="D113" s="8"/>
      <c r="E113" s="206"/>
      <c r="F113" s="207"/>
      <c r="G113" s="20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2.75">
      <c r="A114" s="8"/>
      <c r="B114" s="8"/>
      <c r="C114" s="8"/>
      <c r="D114" s="8"/>
      <c r="E114" s="206"/>
      <c r="F114" s="207"/>
      <c r="G114" s="20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2.75">
      <c r="A115" s="8"/>
      <c r="B115" s="8"/>
      <c r="C115" s="8"/>
      <c r="D115" s="8"/>
      <c r="E115" s="206"/>
      <c r="F115" s="207"/>
      <c r="G115" s="20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2.75">
      <c r="A116" s="8"/>
      <c r="B116" s="8"/>
      <c r="C116" s="8"/>
      <c r="D116" s="8"/>
      <c r="E116" s="206"/>
      <c r="F116" s="207"/>
      <c r="G116" s="20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2.75">
      <c r="A117" s="8"/>
      <c r="B117" s="8"/>
      <c r="C117" s="8"/>
      <c r="D117" s="8"/>
      <c r="E117" s="206"/>
      <c r="F117" s="207"/>
      <c r="G117" s="20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2.75">
      <c r="A118" s="8"/>
      <c r="B118" s="8"/>
      <c r="C118" s="8"/>
      <c r="D118" s="8"/>
      <c r="E118" s="206"/>
      <c r="F118" s="207"/>
      <c r="G118" s="20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2.75">
      <c r="A119" s="8"/>
      <c r="B119" s="8"/>
      <c r="C119" s="8"/>
      <c r="D119" s="8"/>
      <c r="E119" s="206"/>
      <c r="F119" s="207"/>
      <c r="G119" s="20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2.75">
      <c r="A120" s="8"/>
      <c r="B120" s="8"/>
      <c r="C120" s="8"/>
      <c r="D120" s="8"/>
      <c r="E120" s="206"/>
      <c r="F120" s="207"/>
      <c r="G120" s="20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2.75">
      <c r="A121" s="8"/>
      <c r="B121" s="8"/>
      <c r="C121" s="8"/>
      <c r="D121" s="8"/>
      <c r="E121" s="206"/>
      <c r="F121" s="207"/>
      <c r="G121" s="20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2.75">
      <c r="A122" s="8"/>
      <c r="B122" s="8"/>
      <c r="C122" s="8"/>
      <c r="D122" s="8"/>
      <c r="E122" s="206"/>
      <c r="F122" s="207"/>
      <c r="G122" s="20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2.75">
      <c r="A123" s="8"/>
      <c r="B123" s="8"/>
      <c r="C123" s="8"/>
      <c r="D123" s="8"/>
      <c r="E123" s="206"/>
      <c r="F123" s="207"/>
      <c r="G123" s="20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2.75">
      <c r="A124" s="8"/>
      <c r="B124" s="8"/>
      <c r="C124" s="8"/>
      <c r="D124" s="8"/>
      <c r="E124" s="206"/>
      <c r="F124" s="207"/>
      <c r="G124" s="20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2.75">
      <c r="A125" s="8"/>
      <c r="B125" s="8"/>
      <c r="C125" s="8"/>
      <c r="D125" s="8"/>
      <c r="E125" s="206"/>
      <c r="F125" s="207"/>
      <c r="G125" s="20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2.75">
      <c r="A126" s="8"/>
      <c r="B126" s="8"/>
      <c r="C126" s="8"/>
      <c r="D126" s="8"/>
      <c r="E126" s="206"/>
      <c r="F126" s="207"/>
      <c r="G126" s="20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2.75">
      <c r="A127" s="8"/>
      <c r="B127" s="8"/>
      <c r="C127" s="8"/>
      <c r="D127" s="8"/>
      <c r="E127" s="206"/>
      <c r="F127" s="207"/>
      <c r="G127" s="20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2.75">
      <c r="A128" s="8"/>
      <c r="B128" s="8"/>
      <c r="C128" s="8"/>
      <c r="D128" s="8"/>
      <c r="E128" s="206"/>
      <c r="F128" s="207"/>
      <c r="G128" s="20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2.75">
      <c r="A129" s="8"/>
      <c r="B129" s="8"/>
      <c r="C129" s="8"/>
      <c r="D129" s="8"/>
      <c r="E129" s="206"/>
      <c r="F129" s="207"/>
      <c r="G129" s="20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2.75">
      <c r="A130" s="8"/>
      <c r="B130" s="8"/>
      <c r="C130" s="8"/>
      <c r="D130" s="8"/>
      <c r="E130" s="206"/>
      <c r="F130" s="207"/>
      <c r="G130" s="20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2.75">
      <c r="A131" s="8"/>
      <c r="B131" s="8"/>
      <c r="C131" s="8"/>
      <c r="D131" s="8"/>
      <c r="E131" s="206"/>
      <c r="F131" s="207"/>
      <c r="G131" s="20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2.75">
      <c r="A132" s="8"/>
      <c r="B132" s="8"/>
      <c r="C132" s="8"/>
      <c r="D132" s="8"/>
      <c r="E132" s="206"/>
      <c r="F132" s="207"/>
      <c r="G132" s="20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2.75">
      <c r="A133" s="8"/>
      <c r="B133" s="8"/>
      <c r="C133" s="8"/>
      <c r="D133" s="8"/>
      <c r="E133" s="206"/>
      <c r="F133" s="207"/>
      <c r="G133" s="20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2.75">
      <c r="A134" s="8"/>
      <c r="B134" s="8"/>
      <c r="C134" s="8"/>
      <c r="D134" s="8"/>
      <c r="E134" s="206"/>
      <c r="F134" s="207"/>
      <c r="G134" s="20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2.75">
      <c r="A135" s="8"/>
      <c r="B135" s="8"/>
      <c r="C135" s="8"/>
      <c r="D135" s="8"/>
      <c r="E135" s="206"/>
      <c r="F135" s="207"/>
      <c r="G135" s="20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2.75">
      <c r="A136" s="8"/>
      <c r="B136" s="8"/>
      <c r="C136" s="8"/>
      <c r="D136" s="8"/>
      <c r="E136" s="206"/>
      <c r="F136" s="207"/>
      <c r="G136" s="20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2.75">
      <c r="A137" s="8"/>
      <c r="B137" s="8"/>
      <c r="C137" s="8"/>
      <c r="D137" s="8"/>
      <c r="E137" s="206"/>
      <c r="F137" s="207"/>
      <c r="G137" s="20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2.75">
      <c r="A138" s="8"/>
      <c r="B138" s="8"/>
      <c r="C138" s="8"/>
      <c r="D138" s="8"/>
      <c r="E138" s="206"/>
      <c r="F138" s="207"/>
      <c r="G138" s="20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2.75">
      <c r="A139" s="8"/>
      <c r="B139" s="8"/>
      <c r="C139" s="8"/>
      <c r="D139" s="8"/>
      <c r="E139" s="206"/>
      <c r="F139" s="207"/>
      <c r="G139" s="20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2.75">
      <c r="A140" s="8"/>
      <c r="B140" s="8"/>
      <c r="C140" s="8"/>
      <c r="D140" s="8"/>
      <c r="E140" s="206"/>
      <c r="F140" s="207"/>
      <c r="G140" s="20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2.75">
      <c r="A141" s="8"/>
      <c r="B141" s="8"/>
      <c r="C141" s="8"/>
      <c r="D141" s="8"/>
      <c r="E141" s="206"/>
      <c r="F141" s="207"/>
      <c r="G141" s="20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ht="12.75">
      <c r="A142" s="8"/>
      <c r="B142" s="8"/>
      <c r="C142" s="8"/>
      <c r="D142" s="8"/>
      <c r="E142" s="206"/>
      <c r="F142" s="207"/>
      <c r="G142" s="20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ht="12.75">
      <c r="A143" s="8"/>
      <c r="B143" s="8"/>
      <c r="C143" s="8"/>
      <c r="D143" s="8"/>
      <c r="E143" s="206"/>
      <c r="F143" s="207"/>
      <c r="G143" s="20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ht="12.75">
      <c r="A144" s="8"/>
      <c r="B144" s="8"/>
      <c r="C144" s="8"/>
      <c r="D144" s="8"/>
      <c r="E144" s="206"/>
      <c r="F144" s="207"/>
      <c r="G144" s="20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ht="12.75">
      <c r="A145" s="8"/>
      <c r="B145" s="8"/>
      <c r="C145" s="8"/>
      <c r="D145" s="8"/>
      <c r="E145" s="206"/>
      <c r="F145" s="207"/>
      <c r="G145" s="20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ht="12.75">
      <c r="A146" s="8"/>
      <c r="B146" s="8"/>
      <c r="C146" s="8"/>
      <c r="D146" s="8"/>
      <c r="E146" s="206"/>
      <c r="F146" s="207"/>
      <c r="G146" s="20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2.75">
      <c r="A147" s="8"/>
      <c r="B147" s="8"/>
      <c r="C147" s="8"/>
      <c r="D147" s="8"/>
      <c r="E147" s="206"/>
      <c r="F147" s="207"/>
      <c r="G147" s="20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ht="12.75">
      <c r="A148" s="8"/>
      <c r="B148" s="8"/>
      <c r="C148" s="8"/>
      <c r="D148" s="8"/>
      <c r="E148" s="206"/>
      <c r="F148" s="207"/>
      <c r="G148" s="20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ht="12.75">
      <c r="A149" s="8"/>
      <c r="B149" s="8"/>
      <c r="C149" s="8"/>
      <c r="D149" s="8"/>
      <c r="E149" s="206"/>
      <c r="F149" s="207"/>
      <c r="G149" s="20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1:19" ht="12.75">
      <c r="A150" s="8"/>
      <c r="B150" s="8"/>
      <c r="C150" s="8"/>
      <c r="D150" s="8"/>
      <c r="E150" s="206"/>
      <c r="F150" s="207"/>
      <c r="G150" s="20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ht="12.75">
      <c r="A151" s="8"/>
      <c r="B151" s="8"/>
      <c r="C151" s="8"/>
      <c r="D151" s="8"/>
      <c r="E151" s="206"/>
      <c r="F151" s="207"/>
      <c r="G151" s="20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ht="12.75">
      <c r="A152" s="8"/>
      <c r="B152" s="8"/>
      <c r="C152" s="8"/>
      <c r="D152" s="8"/>
      <c r="E152" s="206"/>
      <c r="F152" s="207"/>
      <c r="G152" s="20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ht="12.75">
      <c r="A153" s="8"/>
      <c r="B153" s="8"/>
      <c r="C153" s="8"/>
      <c r="D153" s="8"/>
      <c r="E153" s="206"/>
      <c r="F153" s="207"/>
      <c r="G153" s="20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ht="12.75">
      <c r="A154" s="8"/>
      <c r="B154" s="8"/>
      <c r="C154" s="8"/>
      <c r="D154" s="8"/>
      <c r="E154" s="206"/>
      <c r="F154" s="207"/>
      <c r="G154" s="20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ht="12.75">
      <c r="A155" s="8"/>
      <c r="B155" s="8"/>
      <c r="C155" s="8"/>
      <c r="D155" s="8"/>
      <c r="E155" s="206"/>
      <c r="F155" s="207"/>
      <c r="G155" s="20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1:19" ht="12.75">
      <c r="A156" s="8"/>
      <c r="B156" s="8"/>
      <c r="C156" s="8"/>
      <c r="D156" s="8"/>
      <c r="E156" s="206"/>
      <c r="F156" s="207"/>
      <c r="G156" s="20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ht="12.75">
      <c r="A157" s="8"/>
      <c r="B157" s="8"/>
      <c r="C157" s="8"/>
      <c r="D157" s="8"/>
      <c r="E157" s="206"/>
      <c r="F157" s="207"/>
      <c r="G157" s="20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ht="12.75">
      <c r="A158" s="8"/>
      <c r="B158" s="8"/>
      <c r="C158" s="8"/>
      <c r="D158" s="8"/>
      <c r="E158" s="206"/>
      <c r="F158" s="207"/>
      <c r="G158" s="20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ht="12.75">
      <c r="A159" s="8"/>
      <c r="B159" s="8"/>
      <c r="C159" s="8"/>
      <c r="D159" s="8"/>
      <c r="E159" s="206"/>
      <c r="F159" s="207"/>
      <c r="G159" s="20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spans="1:19" ht="12.75">
      <c r="A160" s="8"/>
      <c r="B160" s="8"/>
      <c r="C160" s="8"/>
      <c r="D160" s="8"/>
      <c r="E160" s="206"/>
      <c r="F160" s="207"/>
      <c r="G160" s="20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ht="12.75">
      <c r="A161" s="8"/>
      <c r="B161" s="8"/>
      <c r="C161" s="8"/>
      <c r="D161" s="8"/>
      <c r="E161" s="206"/>
      <c r="F161" s="207"/>
      <c r="G161" s="20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1:19" ht="12.75">
      <c r="A162" s="8"/>
      <c r="B162" s="8"/>
      <c r="C162" s="8"/>
      <c r="D162" s="8"/>
      <c r="E162" s="206"/>
      <c r="F162" s="207"/>
      <c r="G162" s="20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spans="1:19" ht="12.75">
      <c r="A163" s="8"/>
      <c r="B163" s="8"/>
      <c r="C163" s="8"/>
      <c r="D163" s="8"/>
      <c r="E163" s="206"/>
      <c r="F163" s="207"/>
      <c r="G163" s="20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1:19" ht="12.75">
      <c r="A164" s="8"/>
      <c r="B164" s="8"/>
      <c r="C164" s="8"/>
      <c r="D164" s="8"/>
      <c r="E164" s="206"/>
      <c r="F164" s="207"/>
      <c r="G164" s="20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ht="12.75">
      <c r="A165" s="8"/>
      <c r="B165" s="8"/>
      <c r="C165" s="8"/>
      <c r="D165" s="8"/>
      <c r="E165" s="206"/>
      <c r="F165" s="207"/>
      <c r="G165" s="20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spans="1:19" ht="12.75">
      <c r="A166" s="8"/>
      <c r="B166" s="8"/>
      <c r="C166" s="8"/>
      <c r="D166" s="8"/>
      <c r="E166" s="206"/>
      <c r="F166" s="207"/>
      <c r="G166" s="20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ht="12.75">
      <c r="A167" s="8"/>
      <c r="B167" s="8"/>
      <c r="C167" s="8"/>
      <c r="D167" s="8"/>
      <c r="E167" s="206"/>
      <c r="F167" s="207"/>
      <c r="G167" s="20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ht="12.75">
      <c r="A168" s="8"/>
      <c r="B168" s="8"/>
      <c r="C168" s="8"/>
      <c r="D168" s="8"/>
      <c r="E168" s="206"/>
      <c r="F168" s="207"/>
      <c r="G168" s="20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ht="12.75">
      <c r="A169" s="8"/>
      <c r="B169" s="8"/>
      <c r="C169" s="8"/>
      <c r="D169" s="8"/>
      <c r="E169" s="206"/>
      <c r="F169" s="207"/>
      <c r="G169" s="20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ht="12.75">
      <c r="A170" s="8"/>
      <c r="B170" s="8"/>
      <c r="C170" s="8"/>
      <c r="D170" s="8"/>
      <c r="E170" s="206"/>
      <c r="F170" s="207"/>
      <c r="G170" s="20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ht="12.75">
      <c r="A171" s="8"/>
      <c r="B171" s="8"/>
      <c r="C171" s="8"/>
      <c r="D171" s="8"/>
      <c r="E171" s="206"/>
      <c r="F171" s="207"/>
      <c r="G171" s="20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ht="12.75">
      <c r="A172" s="8"/>
      <c r="B172" s="8"/>
      <c r="C172" s="8"/>
      <c r="D172" s="8"/>
      <c r="E172" s="206"/>
      <c r="F172" s="207"/>
      <c r="G172" s="20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ht="12.75">
      <c r="A173" s="8"/>
      <c r="B173" s="8"/>
      <c r="C173" s="8"/>
      <c r="D173" s="8"/>
      <c r="E173" s="206"/>
      <c r="F173" s="207"/>
      <c r="G173" s="20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spans="1:19" ht="12.75">
      <c r="A174" s="8"/>
      <c r="B174" s="8"/>
      <c r="C174" s="8"/>
      <c r="D174" s="8"/>
      <c r="E174" s="206"/>
      <c r="F174" s="207"/>
      <c r="G174" s="20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ht="12.75">
      <c r="A175" s="8"/>
      <c r="B175" s="8"/>
      <c r="C175" s="8"/>
      <c r="D175" s="8"/>
      <c r="E175" s="206"/>
      <c r="F175" s="207"/>
      <c r="G175" s="20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ht="12.75">
      <c r="A176" s="8"/>
      <c r="B176" s="8"/>
      <c r="C176" s="8"/>
      <c r="D176" s="8"/>
      <c r="E176" s="206"/>
      <c r="F176" s="207"/>
      <c r="G176" s="20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ht="12.75">
      <c r="A177" s="8"/>
      <c r="B177" s="8"/>
      <c r="C177" s="8"/>
      <c r="D177" s="8"/>
      <c r="E177" s="206"/>
      <c r="F177" s="207"/>
      <c r="G177" s="20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1:19" ht="12.75">
      <c r="A178" s="8"/>
      <c r="B178" s="8"/>
      <c r="C178" s="8"/>
      <c r="D178" s="8"/>
      <c r="E178" s="206"/>
      <c r="F178" s="207"/>
      <c r="G178" s="20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ht="12.75">
      <c r="A179" s="8"/>
      <c r="B179" s="8"/>
      <c r="C179" s="8"/>
      <c r="D179" s="8"/>
      <c r="E179" s="206"/>
      <c r="F179" s="207"/>
      <c r="G179" s="20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ht="12.75">
      <c r="A180" s="8"/>
      <c r="B180" s="8"/>
      <c r="C180" s="8"/>
      <c r="D180" s="8"/>
      <c r="E180" s="206"/>
      <c r="F180" s="207"/>
      <c r="G180" s="20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ht="12.75">
      <c r="A181" s="8"/>
      <c r="B181" s="8"/>
      <c r="C181" s="8"/>
      <c r="D181" s="8"/>
      <c r="E181" s="206"/>
      <c r="F181" s="207"/>
      <c r="G181" s="20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ht="12.75">
      <c r="A182" s="8"/>
      <c r="B182" s="8"/>
      <c r="C182" s="8"/>
      <c r="D182" s="8"/>
      <c r="E182" s="206"/>
      <c r="F182" s="207"/>
      <c r="G182" s="20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ht="12.75">
      <c r="A183" s="8"/>
      <c r="B183" s="8"/>
      <c r="C183" s="8"/>
      <c r="D183" s="8"/>
      <c r="E183" s="206"/>
      <c r="F183" s="207"/>
      <c r="G183" s="20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1:19" ht="12.75">
      <c r="A184" s="8"/>
      <c r="B184" s="8"/>
      <c r="C184" s="8"/>
      <c r="D184" s="8"/>
      <c r="E184" s="206"/>
      <c r="F184" s="207"/>
      <c r="G184" s="20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ht="12.75">
      <c r="A185" s="8"/>
      <c r="B185" s="8"/>
      <c r="C185" s="8"/>
      <c r="D185" s="8"/>
      <c r="E185" s="206"/>
      <c r="F185" s="207"/>
      <c r="G185" s="20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ht="12.75">
      <c r="A186" s="8"/>
      <c r="B186" s="8"/>
      <c r="C186" s="8"/>
      <c r="D186" s="8"/>
      <c r="E186" s="206"/>
      <c r="F186" s="207"/>
      <c r="G186" s="20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ht="12.75">
      <c r="A187" s="8"/>
      <c r="B187" s="8"/>
      <c r="C187" s="8"/>
      <c r="D187" s="8"/>
      <c r="E187" s="206"/>
      <c r="F187" s="207"/>
      <c r="G187" s="20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spans="1:19" ht="12.75">
      <c r="A188" s="8"/>
      <c r="B188" s="8"/>
      <c r="C188" s="8"/>
      <c r="D188" s="8"/>
      <c r="E188" s="206"/>
      <c r="F188" s="207"/>
      <c r="G188" s="20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ht="12.75">
      <c r="A189" s="8"/>
      <c r="B189" s="8"/>
      <c r="C189" s="8"/>
      <c r="D189" s="8"/>
      <c r="E189" s="206"/>
      <c r="F189" s="207"/>
      <c r="G189" s="20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ht="12.75">
      <c r="A190" s="8"/>
      <c r="B190" s="8"/>
      <c r="C190" s="8"/>
      <c r="D190" s="8"/>
      <c r="E190" s="206"/>
      <c r="F190" s="207"/>
      <c r="G190" s="20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ht="12.75">
      <c r="A191" s="8"/>
      <c r="B191" s="8"/>
      <c r="C191" s="8"/>
      <c r="D191" s="8"/>
      <c r="E191" s="206"/>
      <c r="F191" s="207"/>
      <c r="G191" s="20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ht="12.75">
      <c r="A192" s="8"/>
      <c r="B192" s="8"/>
      <c r="C192" s="8"/>
      <c r="D192" s="8"/>
      <c r="E192" s="206"/>
      <c r="F192" s="207"/>
      <c r="G192" s="20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ht="12.75">
      <c r="A193" s="8"/>
      <c r="B193" s="8"/>
      <c r="C193" s="8"/>
      <c r="D193" s="8"/>
      <c r="E193" s="206"/>
      <c r="F193" s="207"/>
      <c r="G193" s="20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19" ht="12.75">
      <c r="A194" s="8"/>
      <c r="B194" s="8"/>
      <c r="C194" s="8"/>
      <c r="D194" s="8"/>
      <c r="E194" s="206"/>
      <c r="F194" s="207"/>
      <c r="G194" s="20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ht="12.75">
      <c r="A195" s="8"/>
      <c r="B195" s="8"/>
      <c r="C195" s="8"/>
      <c r="D195" s="8"/>
      <c r="E195" s="206"/>
      <c r="F195" s="207"/>
      <c r="G195" s="20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ht="12.75">
      <c r="A196" s="8"/>
      <c r="B196" s="8"/>
      <c r="C196" s="8"/>
      <c r="D196" s="8"/>
      <c r="E196" s="206"/>
      <c r="F196" s="207"/>
      <c r="G196" s="20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ht="12.75">
      <c r="A197" s="8"/>
      <c r="B197" s="8"/>
      <c r="C197" s="8"/>
      <c r="D197" s="8"/>
      <c r="E197" s="206"/>
      <c r="F197" s="207"/>
      <c r="G197" s="20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spans="1:19" ht="12.75">
      <c r="A198" s="8"/>
      <c r="B198" s="8"/>
      <c r="C198" s="8"/>
      <c r="D198" s="8"/>
      <c r="E198" s="206"/>
      <c r="F198" s="207"/>
      <c r="G198" s="20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ht="12.75">
      <c r="A199" s="8"/>
      <c r="B199" s="8"/>
      <c r="C199" s="8"/>
      <c r="D199" s="8"/>
      <c r="E199" s="206"/>
      <c r="F199" s="207"/>
      <c r="G199" s="20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spans="1:19" ht="12.75">
      <c r="A200" s="8"/>
      <c r="B200" s="8"/>
      <c r="C200" s="8"/>
      <c r="D200" s="8"/>
      <c r="E200" s="206"/>
      <c r="F200" s="207"/>
      <c r="G200" s="20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ht="12.75">
      <c r="A201" s="8"/>
      <c r="B201" s="8"/>
      <c r="C201" s="8"/>
      <c r="D201" s="8"/>
      <c r="E201" s="206"/>
      <c r="F201" s="207"/>
      <c r="G201" s="20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spans="1:19" ht="12.75">
      <c r="A202" s="8"/>
      <c r="B202" s="8"/>
      <c r="C202" s="8"/>
      <c r="D202" s="8"/>
      <c r="E202" s="206"/>
      <c r="F202" s="207"/>
      <c r="G202" s="20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ht="12.75">
      <c r="A203" s="8"/>
      <c r="B203" s="8"/>
      <c r="C203" s="8"/>
      <c r="D203" s="8"/>
      <c r="E203" s="206"/>
      <c r="F203" s="207"/>
      <c r="G203" s="20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spans="1:19" ht="12.75">
      <c r="A204" s="8"/>
      <c r="B204" s="8"/>
      <c r="C204" s="8"/>
      <c r="D204" s="8"/>
      <c r="E204" s="206"/>
      <c r="F204" s="207"/>
      <c r="G204" s="20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ht="12.75">
      <c r="A205" s="8"/>
      <c r="B205" s="8"/>
      <c r="C205" s="8"/>
      <c r="D205" s="8"/>
      <c r="E205" s="206"/>
      <c r="F205" s="207"/>
      <c r="G205" s="20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spans="1:19" ht="12.75">
      <c r="A206" s="8"/>
      <c r="B206" s="8"/>
      <c r="C206" s="8"/>
      <c r="D206" s="8"/>
      <c r="E206" s="206"/>
      <c r="F206" s="207"/>
      <c r="G206" s="20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ht="12.75">
      <c r="A207" s="8"/>
      <c r="B207" s="8"/>
      <c r="C207" s="8"/>
      <c r="D207" s="8"/>
      <c r="E207" s="206"/>
      <c r="F207" s="207"/>
      <c r="G207" s="20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spans="1:19" ht="12.75">
      <c r="A208" s="8"/>
      <c r="B208" s="8"/>
      <c r="C208" s="8"/>
      <c r="D208" s="8"/>
      <c r="E208" s="206"/>
      <c r="F208" s="207"/>
      <c r="G208" s="20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ht="12.75">
      <c r="A209" s="8"/>
      <c r="B209" s="8"/>
      <c r="C209" s="8"/>
      <c r="D209" s="8"/>
      <c r="E209" s="206"/>
      <c r="F209" s="207"/>
      <c r="G209" s="20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ht="12.75">
      <c r="A210" s="8"/>
      <c r="B210" s="8"/>
      <c r="C210" s="8"/>
      <c r="D210" s="8"/>
      <c r="E210" s="206"/>
      <c r="F210" s="207"/>
      <c r="G210" s="20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ht="12.75">
      <c r="A211" s="8"/>
      <c r="B211" s="8"/>
      <c r="C211" s="8"/>
      <c r="D211" s="8"/>
      <c r="E211" s="206"/>
      <c r="F211" s="207"/>
      <c r="G211" s="20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spans="1:19" ht="12.75">
      <c r="A212" s="8"/>
      <c r="B212" s="8"/>
      <c r="C212" s="8"/>
      <c r="D212" s="8"/>
      <c r="E212" s="206"/>
      <c r="F212" s="207"/>
      <c r="G212" s="20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ht="12.75">
      <c r="A213" s="8"/>
      <c r="B213" s="8"/>
      <c r="C213" s="8"/>
      <c r="D213" s="8"/>
      <c r="E213" s="206"/>
      <c r="F213" s="207"/>
      <c r="G213" s="20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1:19" ht="12.75">
      <c r="A214" s="8"/>
      <c r="B214" s="8"/>
      <c r="C214" s="8"/>
      <c r="D214" s="8"/>
      <c r="E214" s="206"/>
      <c r="F214" s="207"/>
      <c r="G214" s="20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ht="12.75">
      <c r="A215" s="8"/>
      <c r="B215" s="8"/>
      <c r="C215" s="8"/>
      <c r="D215" s="8"/>
      <c r="E215" s="206"/>
      <c r="F215" s="207"/>
      <c r="G215" s="20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1:19" ht="12.75">
      <c r="A216" s="8"/>
      <c r="B216" s="8"/>
      <c r="C216" s="8"/>
      <c r="D216" s="8"/>
      <c r="E216" s="206"/>
      <c r="F216" s="207"/>
      <c r="G216" s="20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ht="12.75">
      <c r="A217" s="8"/>
      <c r="B217" s="8"/>
      <c r="C217" s="8"/>
      <c r="D217" s="8"/>
      <c r="E217" s="206"/>
      <c r="F217" s="207"/>
      <c r="G217" s="20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1:19" ht="12.75">
      <c r="A218" s="8"/>
      <c r="B218" s="8"/>
      <c r="C218" s="8"/>
      <c r="D218" s="8"/>
      <c r="E218" s="206"/>
      <c r="F218" s="207"/>
      <c r="G218" s="20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ht="12.75">
      <c r="A219" s="8"/>
      <c r="B219" s="8"/>
      <c r="C219" s="8"/>
      <c r="D219" s="8"/>
      <c r="E219" s="206"/>
      <c r="F219" s="207"/>
      <c r="G219" s="20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spans="1:19" ht="12.75">
      <c r="A220" s="8"/>
      <c r="B220" s="8"/>
      <c r="C220" s="8"/>
      <c r="D220" s="8"/>
      <c r="E220" s="206"/>
      <c r="F220" s="207"/>
      <c r="G220" s="20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ht="12.75">
      <c r="A221" s="8"/>
      <c r="B221" s="8"/>
      <c r="C221" s="8"/>
      <c r="D221" s="8"/>
      <c r="E221" s="206"/>
      <c r="F221" s="207"/>
      <c r="G221" s="20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spans="1:19" ht="12.75">
      <c r="A222" s="8"/>
      <c r="B222" s="8"/>
      <c r="C222" s="8"/>
      <c r="D222" s="8"/>
      <c r="E222" s="206"/>
      <c r="F222" s="207"/>
      <c r="G222" s="20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spans="1:19" ht="12.75">
      <c r="A223" s="8"/>
      <c r="B223" s="8"/>
      <c r="C223" s="8"/>
      <c r="D223" s="8"/>
      <c r="E223" s="206"/>
      <c r="F223" s="207"/>
      <c r="G223" s="20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spans="1:19" ht="12.75">
      <c r="A224" s="8"/>
      <c r="B224" s="8"/>
      <c r="C224" s="8"/>
      <c r="D224" s="8"/>
      <c r="E224" s="206"/>
      <c r="F224" s="207"/>
      <c r="G224" s="20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spans="1:19" ht="12.75">
      <c r="A225" s="8"/>
      <c r="B225" s="8"/>
      <c r="C225" s="8"/>
      <c r="D225" s="8"/>
      <c r="E225" s="206"/>
      <c r="F225" s="207"/>
      <c r="G225" s="20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spans="1:19" ht="12.75">
      <c r="A226" s="8"/>
      <c r="B226" s="8"/>
      <c r="C226" s="8"/>
      <c r="D226" s="8"/>
      <c r="E226" s="206"/>
      <c r="F226" s="207"/>
      <c r="G226" s="20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spans="1:19" ht="12.75">
      <c r="A227" s="8"/>
      <c r="B227" s="8"/>
      <c r="C227" s="8"/>
      <c r="D227" s="8"/>
      <c r="E227" s="206"/>
      <c r="F227" s="207"/>
      <c r="G227" s="20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spans="1:19" ht="12.75">
      <c r="A228" s="8"/>
      <c r="B228" s="8"/>
      <c r="C228" s="8"/>
      <c r="D228" s="8"/>
      <c r="E228" s="206"/>
      <c r="F228" s="207"/>
      <c r="G228" s="20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spans="1:19" ht="12.75">
      <c r="A229" s="8"/>
      <c r="B229" s="8"/>
      <c r="C229" s="8"/>
      <c r="D229" s="8"/>
      <c r="E229" s="206"/>
      <c r="F229" s="207"/>
      <c r="G229" s="20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spans="1:19" ht="12.75">
      <c r="A230" s="8"/>
      <c r="B230" s="8"/>
      <c r="C230" s="8"/>
      <c r="D230" s="8"/>
      <c r="E230" s="206"/>
      <c r="F230" s="207"/>
      <c r="G230" s="20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spans="1:19" ht="12.75">
      <c r="A231" s="8"/>
      <c r="B231" s="8"/>
      <c r="C231" s="8"/>
      <c r="D231" s="8"/>
      <c r="E231" s="206"/>
      <c r="F231" s="207"/>
      <c r="G231" s="20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spans="1:19" ht="12.75">
      <c r="A232" s="8"/>
      <c r="B232" s="8"/>
      <c r="C232" s="8"/>
      <c r="D232" s="8"/>
      <c r="E232" s="206"/>
      <c r="F232" s="207"/>
      <c r="G232" s="20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spans="1:19" ht="12.75">
      <c r="A233" s="8"/>
      <c r="B233" s="8"/>
      <c r="C233" s="8"/>
      <c r="D233" s="8"/>
      <c r="E233" s="206"/>
      <c r="F233" s="207"/>
      <c r="G233" s="20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spans="1:19" ht="12.75">
      <c r="A234" s="8"/>
      <c r="B234" s="8"/>
      <c r="C234" s="8"/>
      <c r="D234" s="8"/>
      <c r="E234" s="206"/>
      <c r="F234" s="207"/>
      <c r="G234" s="20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spans="1:19" ht="12.75">
      <c r="A235" s="8"/>
      <c r="B235" s="8"/>
      <c r="C235" s="8"/>
      <c r="D235" s="8"/>
      <c r="E235" s="206"/>
      <c r="F235" s="207"/>
      <c r="G235" s="20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spans="1:19" ht="12.75">
      <c r="A236" s="8"/>
      <c r="B236" s="8"/>
      <c r="C236" s="8"/>
      <c r="D236" s="8"/>
      <c r="E236" s="206"/>
      <c r="F236" s="207"/>
      <c r="G236" s="20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spans="1:19" ht="12.75">
      <c r="A237" s="8"/>
      <c r="B237" s="8"/>
      <c r="C237" s="8"/>
      <c r="D237" s="8"/>
      <c r="E237" s="206"/>
      <c r="F237" s="207"/>
      <c r="G237" s="20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spans="1:19" ht="12.75">
      <c r="A238" s="8"/>
      <c r="B238" s="8"/>
      <c r="C238" s="8"/>
      <c r="D238" s="8"/>
      <c r="E238" s="206"/>
      <c r="F238" s="207"/>
      <c r="G238" s="20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spans="1:19" ht="12.75">
      <c r="A239" s="8"/>
      <c r="B239" s="8"/>
      <c r="C239" s="8"/>
      <c r="D239" s="8"/>
      <c r="E239" s="206"/>
      <c r="F239" s="207"/>
      <c r="G239" s="207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spans="1:19" ht="12.75">
      <c r="A240" s="8"/>
      <c r="B240" s="8"/>
      <c r="C240" s="8"/>
      <c r="D240" s="8"/>
      <c r="E240" s="206"/>
      <c r="F240" s="207"/>
      <c r="G240" s="207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spans="1:19" ht="12.75">
      <c r="A241" s="8"/>
      <c r="B241" s="8"/>
      <c r="C241" s="8"/>
      <c r="D241" s="8"/>
      <c r="E241" s="206"/>
      <c r="F241" s="207"/>
      <c r="G241" s="207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spans="1:19" ht="12.75">
      <c r="A242" s="8"/>
      <c r="B242" s="8"/>
      <c r="C242" s="8"/>
      <c r="D242" s="8"/>
      <c r="E242" s="206"/>
      <c r="F242" s="207"/>
      <c r="G242" s="207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1:19" ht="12.75">
      <c r="A243" s="8"/>
      <c r="B243" s="8"/>
      <c r="C243" s="8"/>
      <c r="D243" s="8"/>
      <c r="E243" s="206"/>
      <c r="F243" s="207"/>
      <c r="G243" s="20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spans="1:19" ht="12.75">
      <c r="A244" s="8"/>
      <c r="B244" s="8"/>
      <c r="C244" s="8"/>
      <c r="D244" s="8"/>
      <c r="E244" s="206"/>
      <c r="F244" s="207"/>
      <c r="G244" s="20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spans="1:19" ht="12.75">
      <c r="A245" s="8"/>
      <c r="B245" s="8"/>
      <c r="C245" s="8"/>
      <c r="D245" s="8"/>
      <c r="E245" s="206"/>
      <c r="F245" s="207"/>
      <c r="G245" s="20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spans="1:19" ht="12.75">
      <c r="A246" s="8"/>
      <c r="B246" s="8"/>
      <c r="C246" s="8"/>
      <c r="D246" s="8"/>
      <c r="E246" s="206"/>
      <c r="F246" s="207"/>
      <c r="G246" s="20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spans="1:19" ht="12.75">
      <c r="A247" s="8"/>
      <c r="B247" s="8"/>
      <c r="C247" s="8"/>
      <c r="D247" s="8"/>
      <c r="E247" s="206"/>
      <c r="F247" s="207"/>
      <c r="G247" s="20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1:19" ht="12.75">
      <c r="A248" s="8"/>
      <c r="B248" s="8"/>
      <c r="C248" s="8"/>
      <c r="D248" s="8"/>
      <c r="E248" s="206"/>
      <c r="F248" s="207"/>
      <c r="G248" s="20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1:19" ht="12.75">
      <c r="A249" s="8"/>
      <c r="B249" s="8"/>
      <c r="C249" s="8"/>
      <c r="D249" s="8"/>
      <c r="E249" s="206"/>
      <c r="F249" s="207"/>
      <c r="G249" s="20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spans="1:19" ht="12.75">
      <c r="A250" s="8"/>
      <c r="B250" s="8"/>
      <c r="C250" s="8"/>
      <c r="D250" s="8"/>
      <c r="E250" s="206"/>
      <c r="F250" s="207"/>
      <c r="G250" s="20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spans="1:19" ht="12.75">
      <c r="A251" s="8"/>
      <c r="B251" s="8"/>
      <c r="C251" s="8"/>
      <c r="D251" s="8"/>
      <c r="E251" s="206"/>
      <c r="F251" s="207"/>
      <c r="G251" s="20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spans="1:19" ht="12.75">
      <c r="A252" s="8"/>
      <c r="B252" s="8"/>
      <c r="C252" s="8"/>
      <c r="D252" s="8"/>
      <c r="E252" s="206"/>
      <c r="F252" s="207"/>
      <c r="G252" s="20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spans="1:19" ht="12.75">
      <c r="A253" s="8"/>
      <c r="B253" s="8"/>
      <c r="C253" s="8"/>
      <c r="D253" s="8"/>
      <c r="E253" s="206"/>
      <c r="F253" s="207"/>
      <c r="G253" s="20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spans="1:19" ht="12.75">
      <c r="A254" s="8"/>
      <c r="B254" s="8"/>
      <c r="C254" s="8"/>
      <c r="D254" s="8"/>
      <c r="E254" s="206"/>
      <c r="F254" s="207"/>
      <c r="G254" s="20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spans="1:19" ht="12.75">
      <c r="A255" s="8"/>
      <c r="B255" s="8"/>
      <c r="C255" s="8"/>
      <c r="D255" s="8"/>
      <c r="E255" s="206"/>
      <c r="F255" s="207"/>
      <c r="G255" s="20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 spans="1:19" ht="12.75">
      <c r="A256" s="8"/>
      <c r="B256" s="8"/>
      <c r="C256" s="8"/>
      <c r="D256" s="8"/>
      <c r="E256" s="206"/>
      <c r="F256" s="207"/>
      <c r="G256" s="20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spans="1:19" ht="12.75">
      <c r="A257" s="8"/>
      <c r="B257" s="8"/>
      <c r="C257" s="8"/>
      <c r="D257" s="8"/>
      <c r="E257" s="206"/>
      <c r="F257" s="207"/>
      <c r="G257" s="20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 spans="1:19" ht="12.75">
      <c r="A258" s="8"/>
      <c r="B258" s="8"/>
      <c r="C258" s="8"/>
      <c r="D258" s="8"/>
      <c r="E258" s="206"/>
      <c r="F258" s="207"/>
      <c r="G258" s="20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spans="1:19" ht="12.75">
      <c r="A259" s="8"/>
      <c r="B259" s="8"/>
      <c r="C259" s="8"/>
      <c r="D259" s="8"/>
      <c r="E259" s="206"/>
      <c r="F259" s="207"/>
      <c r="G259" s="20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 spans="1:19" ht="12.75">
      <c r="A260" s="8"/>
      <c r="B260" s="8"/>
      <c r="C260" s="8"/>
      <c r="D260" s="8"/>
      <c r="E260" s="206"/>
      <c r="F260" s="207"/>
      <c r="G260" s="20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spans="1:19" ht="12.75">
      <c r="A261" s="8"/>
      <c r="B261" s="8"/>
      <c r="C261" s="8"/>
      <c r="D261" s="8"/>
      <c r="E261" s="206"/>
      <c r="F261" s="207"/>
      <c r="G261" s="20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 spans="1:19" ht="12.75">
      <c r="A262" s="8"/>
      <c r="B262" s="8"/>
      <c r="C262" s="8"/>
      <c r="D262" s="8"/>
      <c r="E262" s="206"/>
      <c r="F262" s="207"/>
      <c r="G262" s="20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spans="1:19" ht="12.75">
      <c r="A263" s="8"/>
      <c r="B263" s="8"/>
      <c r="C263" s="8"/>
      <c r="D263" s="8"/>
      <c r="E263" s="206"/>
      <c r="F263" s="207"/>
      <c r="G263" s="20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spans="1:19" ht="12.75">
      <c r="A264" s="8"/>
      <c r="B264" s="8"/>
      <c r="C264" s="8"/>
      <c r="D264" s="8"/>
      <c r="E264" s="206"/>
      <c r="F264" s="207"/>
      <c r="G264" s="207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spans="1:19" ht="12.75">
      <c r="A265" s="8"/>
      <c r="B265" s="8"/>
      <c r="C265" s="8"/>
      <c r="D265" s="8"/>
      <c r="E265" s="206"/>
      <c r="F265" s="207"/>
      <c r="G265" s="207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spans="1:19" ht="12.75">
      <c r="A266" s="8"/>
      <c r="B266" s="8"/>
      <c r="C266" s="8"/>
      <c r="D266" s="8"/>
      <c r="E266" s="206"/>
      <c r="F266" s="207"/>
      <c r="G266" s="207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spans="1:19" ht="12.75">
      <c r="A267" s="8"/>
      <c r="B267" s="8"/>
      <c r="C267" s="8"/>
      <c r="D267" s="8"/>
      <c r="E267" s="206"/>
      <c r="F267" s="207"/>
      <c r="G267" s="207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spans="1:19" ht="12.75">
      <c r="A268" s="8"/>
      <c r="B268" s="8"/>
      <c r="C268" s="8"/>
      <c r="D268" s="8"/>
      <c r="E268" s="206"/>
      <c r="F268" s="207"/>
      <c r="G268" s="20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spans="1:19" ht="12.75">
      <c r="A269" s="8"/>
      <c r="B269" s="8"/>
      <c r="C269" s="8"/>
      <c r="D269" s="8"/>
      <c r="E269" s="206"/>
      <c r="F269" s="207"/>
      <c r="G269" s="20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spans="1:19" ht="12.75">
      <c r="A270" s="8"/>
      <c r="B270" s="8"/>
      <c r="C270" s="8"/>
      <c r="D270" s="8"/>
      <c r="E270" s="206"/>
      <c r="F270" s="207"/>
      <c r="G270" s="20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spans="1:19" ht="12.75">
      <c r="A271" s="8"/>
      <c r="B271" s="8"/>
      <c r="C271" s="8"/>
      <c r="D271" s="8"/>
      <c r="E271" s="206"/>
      <c r="F271" s="207"/>
      <c r="G271" s="20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 spans="1:19" ht="12.75">
      <c r="A272" s="8"/>
      <c r="B272" s="8"/>
      <c r="C272" s="8"/>
      <c r="D272" s="8"/>
      <c r="E272" s="206"/>
      <c r="F272" s="207"/>
      <c r="G272" s="20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spans="1:19" ht="12.75">
      <c r="A273" s="8"/>
      <c r="B273" s="8"/>
      <c r="C273" s="8"/>
      <c r="D273" s="8"/>
      <c r="E273" s="206"/>
      <c r="F273" s="207"/>
      <c r="G273" s="20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 spans="1:19" ht="12.75">
      <c r="A274" s="8"/>
      <c r="B274" s="8"/>
      <c r="C274" s="8"/>
      <c r="D274" s="8"/>
      <c r="E274" s="206"/>
      <c r="F274" s="207"/>
      <c r="G274" s="20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spans="1:19" ht="12.75">
      <c r="A275" s="8"/>
      <c r="B275" s="8"/>
      <c r="C275" s="8"/>
      <c r="D275" s="8"/>
      <c r="E275" s="206"/>
      <c r="F275" s="207"/>
      <c r="G275" s="20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 spans="1:19" ht="12.75">
      <c r="A276" s="8"/>
      <c r="B276" s="8"/>
      <c r="C276" s="8"/>
      <c r="D276" s="8"/>
      <c r="E276" s="206"/>
      <c r="F276" s="207"/>
      <c r="G276" s="20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spans="1:19" ht="12.75">
      <c r="A277" s="8"/>
      <c r="B277" s="8"/>
      <c r="C277" s="8"/>
      <c r="D277" s="8"/>
      <c r="E277" s="206"/>
      <c r="F277" s="207"/>
      <c r="G277" s="20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 spans="1:19" ht="12.75">
      <c r="A278" s="8"/>
      <c r="B278" s="8"/>
      <c r="C278" s="8"/>
      <c r="D278" s="8"/>
      <c r="E278" s="206"/>
      <c r="F278" s="207"/>
      <c r="G278" s="20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spans="1:19" ht="12.75">
      <c r="A279" s="8"/>
      <c r="B279" s="8"/>
      <c r="C279" s="8"/>
      <c r="D279" s="8"/>
      <c r="E279" s="206"/>
      <c r="F279" s="207"/>
      <c r="G279" s="20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 spans="1:19" ht="12.75">
      <c r="A280" s="8"/>
      <c r="B280" s="8"/>
      <c r="C280" s="8"/>
      <c r="D280" s="8"/>
      <c r="E280" s="206"/>
      <c r="F280" s="207"/>
      <c r="G280" s="20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spans="1:19" ht="12.75">
      <c r="A281" s="8"/>
      <c r="B281" s="8"/>
      <c r="C281" s="8"/>
      <c r="D281" s="8"/>
      <c r="E281" s="206"/>
      <c r="F281" s="207"/>
      <c r="G281" s="20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 spans="1:19" ht="12.75">
      <c r="A282" s="8"/>
      <c r="B282" s="8"/>
      <c r="C282" s="8"/>
      <c r="D282" s="8"/>
      <c r="E282" s="206"/>
      <c r="F282" s="207"/>
      <c r="G282" s="20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spans="1:19" ht="12.75">
      <c r="A283" s="8"/>
      <c r="B283" s="8"/>
      <c r="C283" s="8"/>
      <c r="D283" s="8"/>
      <c r="E283" s="206"/>
      <c r="F283" s="207"/>
      <c r="G283" s="20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spans="1:19" ht="12.75">
      <c r="A284" s="8"/>
      <c r="B284" s="8"/>
      <c r="C284" s="8"/>
      <c r="D284" s="8"/>
      <c r="E284" s="206"/>
      <c r="F284" s="207"/>
      <c r="G284" s="20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spans="1:19" ht="12.75">
      <c r="A285" s="8"/>
      <c r="B285" s="8"/>
      <c r="C285" s="8"/>
      <c r="D285" s="8"/>
      <c r="E285" s="206"/>
      <c r="F285" s="207"/>
      <c r="G285" s="20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spans="1:19" ht="12.75">
      <c r="A286" s="8"/>
      <c r="B286" s="8"/>
      <c r="C286" s="8"/>
      <c r="D286" s="8"/>
      <c r="E286" s="206"/>
      <c r="F286" s="207"/>
      <c r="G286" s="20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spans="1:19" ht="12.75">
      <c r="A287" s="8"/>
      <c r="B287" s="8"/>
      <c r="C287" s="8"/>
      <c r="D287" s="8"/>
      <c r="E287" s="206"/>
      <c r="F287" s="207"/>
      <c r="G287" s="20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spans="1:19" ht="12.75">
      <c r="A288" s="8"/>
      <c r="B288" s="8"/>
      <c r="C288" s="8"/>
      <c r="D288" s="8"/>
      <c r="E288" s="206"/>
      <c r="F288" s="207"/>
      <c r="G288" s="20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spans="1:19" ht="12.75">
      <c r="A289" s="8"/>
      <c r="B289" s="8"/>
      <c r="C289" s="8"/>
      <c r="D289" s="8"/>
      <c r="E289" s="206"/>
      <c r="F289" s="207"/>
      <c r="G289" s="20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 spans="1:19" ht="12.75">
      <c r="A290" s="8"/>
      <c r="B290" s="8"/>
      <c r="C290" s="8"/>
      <c r="D290" s="8"/>
      <c r="E290" s="206"/>
      <c r="F290" s="207"/>
      <c r="G290" s="20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spans="1:19" ht="12.75">
      <c r="A291" s="8"/>
      <c r="B291" s="8"/>
      <c r="C291" s="8"/>
      <c r="D291" s="8"/>
      <c r="E291" s="206"/>
      <c r="F291" s="207"/>
      <c r="G291" s="20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 spans="1:19" ht="12.75">
      <c r="A292" s="8"/>
      <c r="B292" s="8"/>
      <c r="C292" s="8"/>
      <c r="D292" s="8"/>
      <c r="E292" s="206"/>
      <c r="F292" s="207"/>
      <c r="G292" s="20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spans="1:19" ht="12.75">
      <c r="A293" s="8"/>
      <c r="B293" s="8"/>
      <c r="C293" s="8"/>
      <c r="D293" s="8"/>
      <c r="E293" s="206"/>
      <c r="F293" s="207"/>
      <c r="G293" s="20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spans="1:19" ht="12.75">
      <c r="A294" s="8"/>
      <c r="B294" s="8"/>
      <c r="C294" s="8"/>
      <c r="D294" s="8"/>
      <c r="E294" s="206"/>
      <c r="F294" s="207"/>
      <c r="G294" s="20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spans="1:19" ht="12.75">
      <c r="A295" s="8"/>
      <c r="B295" s="8"/>
      <c r="C295" s="8"/>
      <c r="D295" s="8"/>
      <c r="E295" s="206"/>
      <c r="F295" s="207"/>
      <c r="G295" s="20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 spans="1:19" ht="12.75">
      <c r="A296" s="8"/>
      <c r="B296" s="8"/>
      <c r="C296" s="8"/>
      <c r="D296" s="8"/>
      <c r="E296" s="206"/>
      <c r="F296" s="207"/>
      <c r="G296" s="20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spans="1:19" ht="12.75">
      <c r="A297" s="8"/>
      <c r="B297" s="8"/>
      <c r="C297" s="8"/>
      <c r="D297" s="8"/>
      <c r="E297" s="206"/>
      <c r="F297" s="207"/>
      <c r="G297" s="20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 spans="1:19" ht="12.75">
      <c r="A298" s="8"/>
      <c r="B298" s="8"/>
      <c r="C298" s="8"/>
      <c r="D298" s="8"/>
      <c r="E298" s="206"/>
      <c r="F298" s="207"/>
      <c r="G298" s="20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spans="1:19" ht="12.75">
      <c r="A299" s="8"/>
      <c r="B299" s="8"/>
      <c r="C299" s="8"/>
      <c r="D299" s="8"/>
      <c r="E299" s="206"/>
      <c r="F299" s="207"/>
      <c r="G299" s="20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 spans="1:19" ht="12.75">
      <c r="A300" s="8"/>
      <c r="B300" s="8"/>
      <c r="C300" s="8"/>
      <c r="D300" s="8"/>
      <c r="E300" s="206"/>
      <c r="F300" s="207"/>
      <c r="G300" s="20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 spans="1:19" ht="12.75">
      <c r="A301" s="8"/>
      <c r="B301" s="8"/>
      <c r="C301" s="8"/>
      <c r="D301" s="8"/>
      <c r="E301" s="206"/>
      <c r="F301" s="207"/>
      <c r="G301" s="20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 spans="1:19" ht="12.75">
      <c r="A302" s="8"/>
      <c r="B302" s="8"/>
      <c r="C302" s="8"/>
      <c r="D302" s="8"/>
      <c r="E302" s="206"/>
      <c r="F302" s="207"/>
      <c r="G302" s="20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 spans="1:19" ht="12.75">
      <c r="A303" s="8"/>
      <c r="B303" s="8"/>
      <c r="C303" s="8"/>
      <c r="D303" s="8"/>
      <c r="E303" s="206"/>
      <c r="F303" s="207"/>
      <c r="G303" s="20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 spans="1:19" ht="12.75">
      <c r="A304" s="8"/>
      <c r="B304" s="8"/>
      <c r="C304" s="8"/>
      <c r="D304" s="8"/>
      <c r="E304" s="206"/>
      <c r="F304" s="207"/>
      <c r="G304" s="20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 spans="1:19" ht="12.75">
      <c r="A305" s="8"/>
      <c r="B305" s="8"/>
      <c r="C305" s="8"/>
      <c r="D305" s="8"/>
      <c r="E305" s="206"/>
      <c r="F305" s="207"/>
      <c r="G305" s="20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 spans="1:19" ht="12.75">
      <c r="A306" s="8"/>
      <c r="B306" s="8"/>
      <c r="C306" s="8"/>
      <c r="D306" s="8"/>
      <c r="E306" s="206"/>
      <c r="F306" s="207"/>
      <c r="G306" s="20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 spans="1:19" ht="12.75">
      <c r="A307" s="8"/>
      <c r="B307" s="8"/>
      <c r="C307" s="8"/>
      <c r="D307" s="8"/>
      <c r="E307" s="206"/>
      <c r="F307" s="207"/>
      <c r="G307" s="20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 spans="1:19" ht="12.75">
      <c r="A308" s="8"/>
      <c r="B308" s="8"/>
      <c r="C308" s="8"/>
      <c r="D308" s="8"/>
      <c r="E308" s="206"/>
      <c r="F308" s="207"/>
      <c r="G308" s="20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 spans="1:19" ht="12.75">
      <c r="A309" s="8"/>
      <c r="B309" s="8"/>
      <c r="C309" s="8"/>
      <c r="D309" s="8"/>
      <c r="E309" s="206"/>
      <c r="F309" s="207"/>
      <c r="G309" s="20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 spans="1:19" ht="12.75">
      <c r="A310" s="8"/>
      <c r="B310" s="8"/>
      <c r="C310" s="8"/>
      <c r="D310" s="8"/>
      <c r="E310" s="206"/>
      <c r="F310" s="207"/>
      <c r="G310" s="20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 spans="1:19" ht="12.75">
      <c r="A311" s="8"/>
      <c r="B311" s="8"/>
      <c r="C311" s="8"/>
      <c r="D311" s="8"/>
      <c r="E311" s="206"/>
      <c r="F311" s="207"/>
      <c r="G311" s="20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 spans="1:19" ht="12.75">
      <c r="A312" s="8"/>
      <c r="B312" s="8"/>
      <c r="C312" s="8"/>
      <c r="D312" s="8"/>
      <c r="E312" s="206"/>
      <c r="F312" s="207"/>
      <c r="G312" s="20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 spans="1:19" ht="12.75">
      <c r="A313" s="8"/>
      <c r="B313" s="8"/>
      <c r="C313" s="8"/>
      <c r="D313" s="8"/>
      <c r="E313" s="206"/>
      <c r="F313" s="207"/>
      <c r="G313" s="20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 spans="1:19" ht="12.75">
      <c r="A314" s="8"/>
      <c r="B314" s="8"/>
      <c r="C314" s="8"/>
      <c r="D314" s="8"/>
      <c r="E314" s="206"/>
      <c r="F314" s="207"/>
      <c r="G314" s="20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spans="1:19" ht="12.75">
      <c r="A315" s="8"/>
      <c r="B315" s="8"/>
      <c r="C315" s="8"/>
      <c r="D315" s="8"/>
      <c r="E315" s="206"/>
      <c r="F315" s="207"/>
      <c r="G315" s="20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 spans="1:19" ht="12.75">
      <c r="A316" s="8"/>
      <c r="B316" s="8"/>
      <c r="C316" s="8"/>
      <c r="D316" s="8"/>
      <c r="E316" s="206"/>
      <c r="F316" s="207"/>
      <c r="G316" s="20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spans="1:19" ht="12.75">
      <c r="A317" s="8"/>
      <c r="B317" s="8"/>
      <c r="C317" s="8"/>
      <c r="D317" s="8"/>
      <c r="E317" s="206"/>
      <c r="F317" s="207"/>
      <c r="G317" s="20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spans="1:19" ht="12.75">
      <c r="A318" s="8"/>
      <c r="B318" s="8"/>
      <c r="C318" s="8"/>
      <c r="D318" s="8"/>
      <c r="E318" s="206"/>
      <c r="F318" s="207"/>
      <c r="G318" s="20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spans="1:19" ht="12.75">
      <c r="A319" s="8"/>
      <c r="B319" s="8"/>
      <c r="C319" s="8"/>
      <c r="D319" s="8"/>
      <c r="E319" s="206"/>
      <c r="F319" s="207"/>
      <c r="G319" s="20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 spans="1:19" ht="12.75">
      <c r="A320" s="8"/>
      <c r="B320" s="8"/>
      <c r="C320" s="8"/>
      <c r="D320" s="8"/>
      <c r="E320" s="206"/>
      <c r="F320" s="207"/>
      <c r="G320" s="20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spans="1:19" ht="12.75">
      <c r="A321" s="8"/>
      <c r="B321" s="8"/>
      <c r="C321" s="8"/>
      <c r="D321" s="8"/>
      <c r="E321" s="206"/>
      <c r="F321" s="207"/>
      <c r="G321" s="20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 spans="1:19" ht="12.75">
      <c r="A322" s="8"/>
      <c r="B322" s="8"/>
      <c r="C322" s="8"/>
      <c r="D322" s="8"/>
      <c r="E322" s="206"/>
      <c r="F322" s="207"/>
      <c r="G322" s="20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spans="1:19" ht="12.75">
      <c r="A323" s="8"/>
      <c r="B323" s="8"/>
      <c r="C323" s="8"/>
      <c r="D323" s="8"/>
      <c r="E323" s="206"/>
      <c r="F323" s="207"/>
      <c r="G323" s="20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 spans="1:19" ht="12.75">
      <c r="A324" s="8"/>
      <c r="B324" s="8"/>
      <c r="C324" s="8"/>
      <c r="D324" s="8"/>
      <c r="E324" s="206"/>
      <c r="F324" s="207"/>
      <c r="G324" s="20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 spans="1:19" ht="12.75">
      <c r="A325" s="8"/>
      <c r="B325" s="8"/>
      <c r="C325" s="8"/>
      <c r="D325" s="8"/>
      <c r="E325" s="206"/>
      <c r="F325" s="207"/>
      <c r="G325" s="20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 spans="1:19" ht="12.75">
      <c r="A326" s="8"/>
      <c r="B326" s="8"/>
      <c r="C326" s="8"/>
      <c r="D326" s="8"/>
      <c r="E326" s="206"/>
      <c r="F326" s="207"/>
      <c r="G326" s="20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 spans="1:19" ht="12.75">
      <c r="A327" s="8"/>
      <c r="B327" s="8"/>
      <c r="C327" s="8"/>
      <c r="D327" s="8"/>
      <c r="E327" s="206"/>
      <c r="F327" s="207"/>
      <c r="G327" s="20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 spans="1:19" ht="12.75">
      <c r="A328" s="8"/>
      <c r="B328" s="8"/>
      <c r="C328" s="8"/>
      <c r="D328" s="8"/>
      <c r="E328" s="206"/>
      <c r="F328" s="207"/>
      <c r="G328" s="20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 spans="1:19" ht="12.75">
      <c r="A329" s="8"/>
      <c r="B329" s="8"/>
      <c r="C329" s="8"/>
      <c r="D329" s="8"/>
      <c r="E329" s="206"/>
      <c r="F329" s="207"/>
      <c r="G329" s="20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 spans="1:19" ht="12.75">
      <c r="A330" s="8"/>
      <c r="B330" s="8"/>
      <c r="C330" s="8"/>
      <c r="D330" s="8"/>
      <c r="E330" s="206"/>
      <c r="F330" s="207"/>
      <c r="G330" s="20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 spans="1:19" ht="12.75">
      <c r="A331" s="8"/>
      <c r="B331" s="8"/>
      <c r="C331" s="8"/>
      <c r="D331" s="8"/>
      <c r="E331" s="206"/>
      <c r="F331" s="207"/>
      <c r="G331" s="20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 spans="1:19" ht="12.75">
      <c r="A332" s="8"/>
      <c r="B332" s="8"/>
      <c r="C332" s="8"/>
      <c r="D332" s="8"/>
      <c r="E332" s="206"/>
      <c r="F332" s="207"/>
      <c r="G332" s="20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 spans="1:19" ht="12.75">
      <c r="A333" s="8"/>
      <c r="B333" s="8"/>
      <c r="C333" s="8"/>
      <c r="D333" s="8"/>
      <c r="E333" s="206"/>
      <c r="F333" s="207"/>
      <c r="G333" s="20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 spans="1:19" ht="12.75">
      <c r="A334" s="8"/>
      <c r="B334" s="8"/>
      <c r="C334" s="8"/>
      <c r="D334" s="8"/>
      <c r="E334" s="206"/>
      <c r="F334" s="207"/>
      <c r="G334" s="20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spans="1:19" ht="12.75">
      <c r="A335" s="8"/>
      <c r="B335" s="8"/>
      <c r="C335" s="8"/>
      <c r="D335" s="8"/>
      <c r="E335" s="206"/>
      <c r="F335" s="207"/>
      <c r="G335" s="20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 spans="1:19" ht="12.75">
      <c r="A336" s="8"/>
      <c r="B336" s="8"/>
      <c r="C336" s="8"/>
      <c r="D336" s="8"/>
      <c r="E336" s="206"/>
      <c r="F336" s="207"/>
      <c r="G336" s="20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 spans="1:19" ht="12.75">
      <c r="A337" s="8"/>
      <c r="B337" s="8"/>
      <c r="C337" s="8"/>
      <c r="D337" s="8"/>
      <c r="E337" s="206"/>
      <c r="F337" s="207"/>
      <c r="G337" s="20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 spans="1:19" ht="12.75">
      <c r="A338" s="8"/>
      <c r="B338" s="8"/>
      <c r="C338" s="8"/>
      <c r="D338" s="8"/>
      <c r="E338" s="206"/>
      <c r="F338" s="207"/>
      <c r="G338" s="207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 spans="1:19" ht="12.75">
      <c r="A339" s="8"/>
      <c r="B339" s="8"/>
      <c r="C339" s="8"/>
      <c r="D339" s="8"/>
      <c r="E339" s="206"/>
      <c r="F339" s="207"/>
      <c r="G339" s="207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 spans="1:19" ht="12.75">
      <c r="A340" s="8"/>
      <c r="B340" s="8"/>
      <c r="C340" s="8"/>
      <c r="D340" s="8"/>
      <c r="E340" s="206"/>
      <c r="F340" s="207"/>
      <c r="G340" s="207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 spans="1:19" ht="12.75">
      <c r="A341" s="8"/>
      <c r="B341" s="8"/>
      <c r="C341" s="8"/>
      <c r="D341" s="8"/>
      <c r="E341" s="206"/>
      <c r="F341" s="207"/>
      <c r="G341" s="207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 spans="1:19" ht="12.75">
      <c r="A342" s="8"/>
      <c r="B342" s="8"/>
      <c r="C342" s="8"/>
      <c r="D342" s="8"/>
      <c r="E342" s="206"/>
      <c r="F342" s="207"/>
      <c r="G342" s="20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 spans="1:19" ht="12.75">
      <c r="A343" s="8"/>
      <c r="B343" s="8"/>
      <c r="C343" s="8"/>
      <c r="D343" s="8"/>
      <c r="E343" s="206"/>
      <c r="F343" s="207"/>
      <c r="G343" s="207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 spans="1:19" ht="12.75">
      <c r="A344" s="8"/>
      <c r="B344" s="8"/>
      <c r="C344" s="8"/>
      <c r="D344" s="8"/>
      <c r="E344" s="206"/>
      <c r="F344" s="207"/>
      <c r="G344" s="207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 spans="1:19" ht="12.75">
      <c r="A345" s="8"/>
      <c r="B345" s="8"/>
      <c r="C345" s="8"/>
      <c r="D345" s="8"/>
      <c r="E345" s="206"/>
      <c r="F345" s="207"/>
      <c r="G345" s="207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 spans="1:19" ht="12.75">
      <c r="A346" s="8"/>
      <c r="B346" s="8"/>
      <c r="C346" s="8"/>
      <c r="D346" s="8"/>
      <c r="E346" s="206"/>
      <c r="F346" s="207"/>
      <c r="G346" s="207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 spans="1:19" ht="12.75">
      <c r="A347" s="8"/>
      <c r="B347" s="8"/>
      <c r="C347" s="8"/>
      <c r="D347" s="8"/>
      <c r="E347" s="206"/>
      <c r="F347" s="207"/>
      <c r="G347" s="207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 spans="1:19" ht="12.75">
      <c r="A348" s="8"/>
      <c r="B348" s="8"/>
      <c r="C348" s="8"/>
      <c r="D348" s="8"/>
      <c r="E348" s="206"/>
      <c r="F348" s="207"/>
      <c r="G348" s="207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 spans="1:19" ht="12.75">
      <c r="A349" s="8"/>
      <c r="B349" s="8"/>
      <c r="C349" s="8"/>
      <c r="D349" s="8"/>
      <c r="E349" s="206"/>
      <c r="F349" s="207"/>
      <c r="G349" s="207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 spans="1:19" ht="12.75">
      <c r="A350" s="8"/>
      <c r="B350" s="8"/>
      <c r="C350" s="8"/>
      <c r="D350" s="8"/>
      <c r="E350" s="206"/>
      <c r="F350" s="207"/>
      <c r="G350" s="207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 spans="1:19" ht="12.75">
      <c r="A351" s="8"/>
      <c r="B351" s="8"/>
      <c r="C351" s="8"/>
      <c r="D351" s="8"/>
      <c r="E351" s="206"/>
      <c r="F351" s="207"/>
      <c r="G351" s="207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 spans="1:19" ht="12.75">
      <c r="A352" s="8"/>
      <c r="B352" s="8"/>
      <c r="C352" s="8"/>
      <c r="D352" s="8"/>
      <c r="E352" s="206"/>
      <c r="F352" s="207"/>
      <c r="G352" s="207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 spans="1:19" ht="12.75">
      <c r="A353" s="8"/>
      <c r="B353" s="8"/>
      <c r="C353" s="8"/>
      <c r="D353" s="8"/>
      <c r="E353" s="206"/>
      <c r="F353" s="207"/>
      <c r="G353" s="207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 spans="1:19" ht="12.75">
      <c r="A354" s="8"/>
      <c r="B354" s="8"/>
      <c r="C354" s="8"/>
      <c r="D354" s="8"/>
      <c r="E354" s="206"/>
      <c r="F354" s="207"/>
      <c r="G354" s="207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 spans="1:19" ht="12.75">
      <c r="A355" s="8"/>
      <c r="B355" s="8"/>
      <c r="C355" s="8"/>
      <c r="D355" s="8"/>
      <c r="E355" s="206"/>
      <c r="F355" s="207"/>
      <c r="G355" s="207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 spans="1:19" ht="12.75">
      <c r="A356" s="8"/>
      <c r="B356" s="8"/>
      <c r="C356" s="8"/>
      <c r="D356" s="8"/>
      <c r="E356" s="206"/>
      <c r="F356" s="207"/>
      <c r="G356" s="207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 spans="1:19" ht="12.75">
      <c r="A357" s="8"/>
      <c r="B357" s="8"/>
      <c r="C357" s="8"/>
      <c r="D357" s="8"/>
      <c r="E357" s="206"/>
      <c r="F357" s="207"/>
      <c r="G357" s="20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 spans="1:19" ht="12.75">
      <c r="A358" s="8"/>
      <c r="B358" s="8"/>
      <c r="C358" s="8"/>
      <c r="D358" s="8"/>
      <c r="E358" s="206"/>
      <c r="F358" s="207"/>
      <c r="G358" s="20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 spans="1:19" ht="12.75">
      <c r="A359" s="8"/>
      <c r="B359" s="8"/>
      <c r="C359" s="8"/>
      <c r="D359" s="8"/>
      <c r="E359" s="206"/>
      <c r="F359" s="207"/>
      <c r="G359" s="20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 spans="1:19" ht="12.75">
      <c r="A360" s="8"/>
      <c r="B360" s="8"/>
      <c r="C360" s="8"/>
      <c r="D360" s="8"/>
      <c r="E360" s="206"/>
      <c r="F360" s="207"/>
      <c r="G360" s="207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 spans="1:19" ht="12.75">
      <c r="A361" s="8"/>
      <c r="B361" s="8"/>
      <c r="C361" s="8"/>
      <c r="D361" s="8"/>
      <c r="E361" s="206"/>
      <c r="F361" s="207"/>
      <c r="G361" s="207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 spans="1:19" ht="12.75">
      <c r="A362" s="8"/>
      <c r="B362" s="8"/>
      <c r="C362" s="8"/>
      <c r="D362" s="8"/>
      <c r="E362" s="206"/>
      <c r="F362" s="207"/>
      <c r="G362" s="207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spans="1:19" ht="12.75">
      <c r="A363" s="8"/>
      <c r="B363" s="8"/>
      <c r="C363" s="8"/>
      <c r="D363" s="8"/>
      <c r="E363" s="206"/>
      <c r="F363" s="207"/>
      <c r="G363" s="207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 spans="1:19" ht="12.75">
      <c r="A364" s="8"/>
      <c r="B364" s="8"/>
      <c r="C364" s="8"/>
      <c r="D364" s="8"/>
      <c r="E364" s="206"/>
      <c r="F364" s="207"/>
      <c r="G364" s="207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 spans="1:19" ht="12.75">
      <c r="A365" s="8"/>
      <c r="B365" s="8"/>
      <c r="C365" s="8"/>
      <c r="D365" s="8"/>
      <c r="E365" s="206"/>
      <c r="F365" s="207"/>
      <c r="G365" s="207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 spans="1:19" ht="12.75">
      <c r="A366" s="8"/>
      <c r="B366" s="8"/>
      <c r="C366" s="8"/>
      <c r="D366" s="8"/>
      <c r="E366" s="206"/>
      <c r="F366" s="207"/>
      <c r="G366" s="207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spans="1:19" ht="12.75">
      <c r="A367" s="8"/>
      <c r="B367" s="8"/>
      <c r="C367" s="8"/>
      <c r="D367" s="8"/>
      <c r="E367" s="206"/>
      <c r="F367" s="207"/>
      <c r="G367" s="207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 spans="1:19" ht="12.75">
      <c r="A368" s="8"/>
      <c r="B368" s="8"/>
      <c r="C368" s="8"/>
      <c r="D368" s="8"/>
      <c r="E368" s="206"/>
      <c r="F368" s="207"/>
      <c r="G368" s="207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 spans="1:19" ht="12.75">
      <c r="A369" s="8"/>
      <c r="B369" s="8"/>
      <c r="C369" s="8"/>
      <c r="D369" s="8"/>
      <c r="E369" s="206"/>
      <c r="F369" s="207"/>
      <c r="G369" s="207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 spans="1:19" ht="12.75">
      <c r="A370" s="8"/>
      <c r="B370" s="8"/>
      <c r="C370" s="8"/>
      <c r="D370" s="8"/>
      <c r="E370" s="206"/>
      <c r="F370" s="207"/>
      <c r="G370" s="207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 spans="1:19" ht="12.75">
      <c r="A371" s="8"/>
      <c r="B371" s="8"/>
      <c r="C371" s="8"/>
      <c r="D371" s="8"/>
      <c r="E371" s="206"/>
      <c r="F371" s="207"/>
      <c r="G371" s="20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 spans="1:19" ht="12.75">
      <c r="A372" s="8"/>
      <c r="B372" s="8"/>
      <c r="C372" s="8"/>
      <c r="D372" s="8"/>
      <c r="E372" s="206"/>
      <c r="F372" s="207"/>
      <c r="G372" s="20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 spans="1:19" ht="12.75">
      <c r="A373" s="8"/>
      <c r="B373" s="8"/>
      <c r="C373" s="8"/>
      <c r="D373" s="8"/>
      <c r="E373" s="206"/>
      <c r="F373" s="207"/>
      <c r="G373" s="20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 spans="1:19" ht="12.75">
      <c r="A374" s="8"/>
      <c r="B374" s="8"/>
      <c r="C374" s="8"/>
      <c r="D374" s="8"/>
      <c r="E374" s="206"/>
      <c r="F374" s="207"/>
      <c r="G374" s="207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 spans="1:19" ht="12.75">
      <c r="A375" s="8"/>
      <c r="B375" s="8"/>
      <c r="C375" s="8"/>
      <c r="D375" s="8"/>
      <c r="E375" s="206"/>
      <c r="F375" s="207"/>
      <c r="G375" s="207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 spans="1:19" ht="12.75">
      <c r="A376" s="8"/>
      <c r="B376" s="8"/>
      <c r="C376" s="8"/>
      <c r="D376" s="8"/>
      <c r="E376" s="206"/>
      <c r="F376" s="207"/>
      <c r="G376" s="207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 spans="1:19" ht="12.75">
      <c r="A377" s="8"/>
      <c r="B377" s="8"/>
      <c r="C377" s="8"/>
      <c r="D377" s="8"/>
      <c r="E377" s="206"/>
      <c r="F377" s="207"/>
      <c r="G377" s="207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 spans="1:19" ht="12.75">
      <c r="A378" s="8"/>
      <c r="B378" s="8"/>
      <c r="C378" s="8"/>
      <c r="D378" s="8"/>
      <c r="E378" s="206"/>
      <c r="F378" s="207"/>
      <c r="G378" s="20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 spans="1:19" ht="12.75">
      <c r="A379" s="8"/>
      <c r="B379" s="8"/>
      <c r="C379" s="8"/>
      <c r="D379" s="8"/>
      <c r="E379" s="206"/>
      <c r="F379" s="207"/>
      <c r="G379" s="207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 spans="1:19" ht="12.75">
      <c r="A380" s="8"/>
      <c r="B380" s="8"/>
      <c r="C380" s="8"/>
      <c r="D380" s="8"/>
      <c r="E380" s="206"/>
      <c r="F380" s="207"/>
      <c r="G380" s="207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 spans="1:19" ht="12.75">
      <c r="A381" s="8"/>
      <c r="B381" s="8"/>
      <c r="C381" s="8"/>
      <c r="D381" s="8"/>
      <c r="E381" s="206"/>
      <c r="F381" s="207"/>
      <c r="G381" s="207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 spans="1:19" ht="12.75">
      <c r="A382" s="8"/>
      <c r="B382" s="8"/>
      <c r="C382" s="8"/>
      <c r="D382" s="8"/>
      <c r="E382" s="206"/>
      <c r="F382" s="207"/>
      <c r="G382" s="207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 spans="1:19" ht="12.75">
      <c r="A383" s="8"/>
      <c r="B383" s="8"/>
      <c r="C383" s="8"/>
      <c r="D383" s="8"/>
      <c r="E383" s="206"/>
      <c r="F383" s="207"/>
      <c r="G383" s="20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 spans="1:19" ht="12.75">
      <c r="A384" s="8"/>
      <c r="B384" s="8"/>
      <c r="C384" s="8"/>
      <c r="D384" s="8"/>
      <c r="E384" s="206"/>
      <c r="F384" s="207"/>
      <c r="G384" s="207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 spans="1:19" ht="12.75">
      <c r="A385" s="8"/>
      <c r="B385" s="8"/>
      <c r="C385" s="8"/>
      <c r="D385" s="8"/>
      <c r="E385" s="206"/>
      <c r="F385" s="207"/>
      <c r="G385" s="207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 spans="1:19" ht="12.75">
      <c r="A386" s="8"/>
      <c r="B386" s="8"/>
      <c r="C386" s="8"/>
      <c r="D386" s="8"/>
      <c r="E386" s="206"/>
      <c r="F386" s="207"/>
      <c r="G386" s="207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 spans="1:19" ht="12.75">
      <c r="A387" s="8"/>
      <c r="B387" s="8"/>
      <c r="C387" s="8"/>
      <c r="D387" s="8"/>
      <c r="E387" s="206"/>
      <c r="F387" s="207"/>
      <c r="G387" s="20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 spans="1:19" ht="12.75">
      <c r="A388" s="8"/>
      <c r="B388" s="8"/>
      <c r="C388" s="8"/>
      <c r="D388" s="8"/>
      <c r="E388" s="206"/>
      <c r="F388" s="207"/>
      <c r="G388" s="20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 spans="1:19" ht="12.75">
      <c r="A389" s="8"/>
      <c r="B389" s="8"/>
      <c r="C389" s="8"/>
      <c r="D389" s="8"/>
      <c r="E389" s="206"/>
      <c r="F389" s="207"/>
      <c r="G389" s="20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 spans="1:19" ht="12.75">
      <c r="A390" s="8"/>
      <c r="B390" s="8"/>
      <c r="C390" s="8"/>
      <c r="D390" s="8"/>
      <c r="E390" s="206"/>
      <c r="F390" s="207"/>
      <c r="G390" s="207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 spans="1:19" ht="12.75">
      <c r="A391" s="8"/>
      <c r="B391" s="8"/>
      <c r="C391" s="8"/>
      <c r="D391" s="8"/>
      <c r="E391" s="206"/>
      <c r="F391" s="207"/>
      <c r="G391" s="207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 spans="1:19" ht="12.75">
      <c r="A392" s="8"/>
      <c r="B392" s="8"/>
      <c r="C392" s="8"/>
      <c r="D392" s="8"/>
      <c r="E392" s="206"/>
      <c r="F392" s="207"/>
      <c r="G392" s="207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 spans="1:19" ht="12.75">
      <c r="A393" s="8"/>
      <c r="B393" s="8"/>
      <c r="C393" s="8"/>
      <c r="D393" s="8"/>
      <c r="E393" s="206"/>
      <c r="F393" s="207"/>
      <c r="G393" s="207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 spans="1:19" ht="12.75">
      <c r="A394" s="8"/>
      <c r="B394" s="8"/>
      <c r="C394" s="8"/>
      <c r="D394" s="8"/>
      <c r="E394" s="206"/>
      <c r="F394" s="207"/>
      <c r="G394" s="207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 spans="1:19" ht="12.75">
      <c r="A395" s="8"/>
      <c r="B395" s="8"/>
      <c r="C395" s="8"/>
      <c r="D395" s="8"/>
      <c r="E395" s="206"/>
      <c r="F395" s="207"/>
      <c r="G395" s="207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 spans="1:19" ht="12.75">
      <c r="A396" s="8"/>
      <c r="B396" s="8"/>
      <c r="C396" s="8"/>
      <c r="D396" s="8"/>
      <c r="E396" s="206"/>
      <c r="F396" s="207"/>
      <c r="G396" s="20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 spans="1:19" ht="12.75">
      <c r="A397" s="8"/>
      <c r="B397" s="8"/>
      <c r="C397" s="8"/>
      <c r="D397" s="8"/>
      <c r="E397" s="206"/>
      <c r="F397" s="207"/>
      <c r="G397" s="20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 spans="1:19" ht="12.75">
      <c r="A398" s="8"/>
      <c r="B398" s="8"/>
      <c r="C398" s="8"/>
      <c r="D398" s="8"/>
      <c r="E398" s="206"/>
      <c r="F398" s="207"/>
      <c r="G398" s="207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 spans="1:19" ht="12.75">
      <c r="A399" s="8"/>
      <c r="B399" s="8"/>
      <c r="C399" s="8"/>
      <c r="D399" s="8"/>
      <c r="E399" s="206"/>
      <c r="F399" s="207"/>
      <c r="G399" s="207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 spans="1:19" ht="12.75">
      <c r="A400" s="8"/>
      <c r="B400" s="8"/>
      <c r="C400" s="8"/>
      <c r="D400" s="8"/>
      <c r="E400" s="206"/>
      <c r="F400" s="207"/>
      <c r="G400" s="20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 spans="1:19" ht="12.75">
      <c r="A401" s="8"/>
      <c r="B401" s="8"/>
      <c r="C401" s="8"/>
      <c r="D401" s="8"/>
      <c r="E401" s="206"/>
      <c r="F401" s="207"/>
      <c r="G401" s="207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 spans="1:19" ht="12.75">
      <c r="A402" s="8"/>
      <c r="B402" s="8"/>
      <c r="C402" s="8"/>
      <c r="D402" s="8"/>
      <c r="E402" s="206"/>
      <c r="F402" s="207"/>
      <c r="G402" s="207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 spans="1:19" ht="12.75">
      <c r="A403" s="8"/>
      <c r="B403" s="8"/>
      <c r="C403" s="8"/>
      <c r="D403" s="8"/>
      <c r="E403" s="206"/>
      <c r="F403" s="207"/>
      <c r="G403" s="207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 spans="1:19" ht="12.75">
      <c r="A404" s="8"/>
      <c r="B404" s="8"/>
      <c r="C404" s="8"/>
      <c r="D404" s="8"/>
      <c r="E404" s="206"/>
      <c r="F404" s="207"/>
      <c r="G404" s="207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 spans="1:19" ht="12.75">
      <c r="A405" s="8"/>
      <c r="B405" s="8"/>
      <c r="C405" s="8"/>
      <c r="D405" s="8"/>
      <c r="E405" s="206"/>
      <c r="F405" s="207"/>
      <c r="G405" s="20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 spans="1:19" ht="12.75">
      <c r="A406" s="8"/>
      <c r="B406" s="8"/>
      <c r="C406" s="8"/>
      <c r="D406" s="8"/>
      <c r="E406" s="206"/>
      <c r="F406" s="207"/>
      <c r="G406" s="20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 spans="1:19" ht="12.75">
      <c r="A407" s="8"/>
      <c r="B407" s="8"/>
      <c r="C407" s="8"/>
      <c r="D407" s="8"/>
      <c r="E407" s="206"/>
      <c r="F407" s="207"/>
      <c r="G407" s="207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 spans="1:19" ht="12.75">
      <c r="A408" s="8"/>
      <c r="B408" s="8"/>
      <c r="C408" s="8"/>
      <c r="D408" s="8"/>
      <c r="E408" s="206"/>
      <c r="F408" s="207"/>
      <c r="G408" s="207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 spans="1:19" ht="12.75">
      <c r="A409" s="8"/>
      <c r="B409" s="8"/>
      <c r="C409" s="8"/>
      <c r="D409" s="8"/>
      <c r="E409" s="206"/>
      <c r="F409" s="207"/>
      <c r="G409" s="207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 spans="1:19" ht="12.75">
      <c r="A410" s="8"/>
      <c r="B410" s="8"/>
      <c r="C410" s="8"/>
      <c r="D410" s="8"/>
      <c r="E410" s="206"/>
      <c r="F410" s="207"/>
      <c r="G410" s="20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 spans="1:19" ht="12.75">
      <c r="A411" s="8"/>
      <c r="B411" s="8"/>
      <c r="C411" s="8"/>
      <c r="D411" s="8"/>
      <c r="E411" s="206"/>
      <c r="F411" s="207"/>
      <c r="G411" s="20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 spans="1:19" ht="12.75">
      <c r="A412" s="8"/>
      <c r="B412" s="8"/>
      <c r="C412" s="8"/>
      <c r="D412" s="8"/>
      <c r="E412" s="206"/>
      <c r="F412" s="207"/>
      <c r="G412" s="20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 spans="1:19" ht="12.75">
      <c r="A413" s="8"/>
      <c r="B413" s="8"/>
      <c r="C413" s="8"/>
      <c r="D413" s="8"/>
      <c r="E413" s="206"/>
      <c r="F413" s="207"/>
      <c r="G413" s="20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 spans="1:19" ht="12.75">
      <c r="A414" s="8"/>
      <c r="B414" s="8"/>
      <c r="C414" s="8"/>
      <c r="D414" s="8"/>
      <c r="E414" s="206"/>
      <c r="F414" s="207"/>
      <c r="G414" s="20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 spans="1:19" ht="12.75">
      <c r="A415" s="8"/>
      <c r="B415" s="8"/>
      <c r="C415" s="8"/>
      <c r="D415" s="8"/>
      <c r="E415" s="206"/>
      <c r="F415" s="207"/>
      <c r="G415" s="20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 spans="1:19" ht="12.75">
      <c r="A416" s="8"/>
      <c r="B416" s="8"/>
      <c r="C416" s="8"/>
      <c r="D416" s="8"/>
      <c r="E416" s="206"/>
      <c r="F416" s="207"/>
      <c r="G416" s="20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 spans="1:19" ht="12.75">
      <c r="A417" s="8"/>
      <c r="B417" s="8"/>
      <c r="C417" s="8"/>
      <c r="D417" s="8"/>
      <c r="E417" s="206"/>
      <c r="F417" s="207"/>
      <c r="G417" s="20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 spans="1:19" ht="12.75">
      <c r="A418" s="8"/>
      <c r="B418" s="8"/>
      <c r="C418" s="8"/>
      <c r="D418" s="8"/>
      <c r="E418" s="206"/>
      <c r="F418" s="207"/>
      <c r="G418" s="20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 spans="1:19" ht="12.75">
      <c r="A419" s="8"/>
      <c r="B419" s="8"/>
      <c r="C419" s="8"/>
      <c r="D419" s="8"/>
      <c r="E419" s="206"/>
      <c r="F419" s="207"/>
      <c r="G419" s="20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 spans="1:19" ht="12.75">
      <c r="A420" s="8"/>
      <c r="B420" s="8"/>
      <c r="C420" s="8"/>
      <c r="D420" s="8"/>
      <c r="E420" s="206"/>
      <c r="F420" s="207"/>
      <c r="G420" s="20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 spans="1:19" ht="12.75">
      <c r="A421" s="8"/>
      <c r="B421" s="8"/>
      <c r="C421" s="8"/>
      <c r="D421" s="8"/>
      <c r="E421" s="206"/>
      <c r="F421" s="207"/>
      <c r="G421" s="20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 spans="1:19" ht="12.75">
      <c r="A422" s="8"/>
      <c r="B422" s="8"/>
      <c r="C422" s="8"/>
      <c r="D422" s="8"/>
      <c r="E422" s="206"/>
      <c r="F422" s="207"/>
      <c r="G422" s="20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 spans="1:19" ht="12.75">
      <c r="A423" s="8"/>
      <c r="B423" s="8"/>
      <c r="C423" s="8"/>
      <c r="D423" s="8"/>
      <c r="E423" s="206"/>
      <c r="F423" s="207"/>
      <c r="G423" s="20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 spans="1:19" ht="12.75">
      <c r="A424" s="8"/>
      <c r="B424" s="8"/>
      <c r="C424" s="8"/>
      <c r="D424" s="8"/>
      <c r="E424" s="206"/>
      <c r="F424" s="207"/>
      <c r="G424" s="20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 spans="1:19" ht="12.75">
      <c r="A425" s="8"/>
      <c r="B425" s="8"/>
      <c r="C425" s="8"/>
      <c r="D425" s="8"/>
      <c r="E425" s="206"/>
      <c r="F425" s="207"/>
      <c r="G425" s="20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 spans="1:19" ht="12.75">
      <c r="A426" s="8"/>
      <c r="B426" s="8"/>
      <c r="C426" s="8"/>
      <c r="D426" s="8"/>
      <c r="E426" s="206"/>
      <c r="F426" s="207"/>
      <c r="G426" s="20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 spans="1:19" ht="12.75">
      <c r="A427" s="8"/>
      <c r="B427" s="8"/>
      <c r="C427" s="8"/>
      <c r="D427" s="8"/>
      <c r="E427" s="206"/>
      <c r="F427" s="207"/>
      <c r="G427" s="20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 spans="1:19" ht="12.75">
      <c r="A428" s="8"/>
      <c r="B428" s="8"/>
      <c r="C428" s="8"/>
      <c r="D428" s="8"/>
      <c r="E428" s="206"/>
      <c r="F428" s="207"/>
      <c r="G428" s="20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 spans="1:19" ht="12.75">
      <c r="A429" s="8"/>
      <c r="B429" s="8"/>
      <c r="C429" s="8"/>
      <c r="D429" s="8"/>
      <c r="E429" s="206"/>
      <c r="F429" s="207"/>
      <c r="G429" s="20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 spans="1:19" ht="12.75">
      <c r="A430" s="8"/>
      <c r="B430" s="8"/>
      <c r="C430" s="8"/>
      <c r="D430" s="8"/>
      <c r="E430" s="206"/>
      <c r="F430" s="207"/>
      <c r="G430" s="20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 spans="1:19" ht="12.75">
      <c r="A431" s="8"/>
      <c r="B431" s="8"/>
      <c r="C431" s="8"/>
      <c r="D431" s="8"/>
      <c r="E431" s="206"/>
      <c r="F431" s="207"/>
      <c r="G431" s="20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 spans="1:19" ht="12.75">
      <c r="A432" s="8"/>
      <c r="B432" s="8"/>
      <c r="C432" s="8"/>
      <c r="D432" s="8"/>
      <c r="E432" s="206"/>
      <c r="F432" s="207"/>
      <c r="G432" s="20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 spans="1:19" ht="12.75">
      <c r="A433" s="8"/>
      <c r="B433" s="8"/>
      <c r="C433" s="8"/>
      <c r="D433" s="8"/>
      <c r="E433" s="206"/>
      <c r="F433" s="207"/>
      <c r="G433" s="20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 spans="1:19" ht="12.75">
      <c r="A434" s="8"/>
      <c r="B434" s="8"/>
      <c r="C434" s="8"/>
      <c r="D434" s="8"/>
      <c r="E434" s="206"/>
      <c r="F434" s="207"/>
      <c r="G434" s="20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 spans="1:19" ht="12.75">
      <c r="A435" s="8"/>
      <c r="B435" s="8"/>
      <c r="C435" s="8"/>
      <c r="D435" s="8"/>
      <c r="E435" s="206"/>
      <c r="F435" s="207"/>
      <c r="G435" s="20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 spans="1:19" ht="12.75">
      <c r="A436" s="8"/>
      <c r="B436" s="8"/>
      <c r="C436" s="8"/>
      <c r="D436" s="8"/>
      <c r="E436" s="206"/>
      <c r="F436" s="207"/>
      <c r="G436" s="20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 spans="1:19" ht="12.75">
      <c r="A437" s="8"/>
      <c r="B437" s="8"/>
      <c r="C437" s="8"/>
      <c r="D437" s="8"/>
      <c r="E437" s="206"/>
      <c r="F437" s="207"/>
      <c r="G437" s="20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 spans="1:19" ht="12.75">
      <c r="A438" s="8"/>
      <c r="B438" s="8"/>
      <c r="C438" s="8"/>
      <c r="D438" s="8"/>
      <c r="E438" s="206"/>
      <c r="F438" s="207"/>
      <c r="G438" s="20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spans="1:19" ht="12.75">
      <c r="A439" s="8"/>
      <c r="B439" s="8"/>
      <c r="C439" s="8"/>
      <c r="D439" s="8"/>
      <c r="E439" s="206"/>
      <c r="F439" s="207"/>
      <c r="G439" s="20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 spans="1:19" ht="12.75">
      <c r="A440" s="8"/>
      <c r="B440" s="8"/>
      <c r="C440" s="8"/>
      <c r="D440" s="8"/>
      <c r="E440" s="206"/>
      <c r="F440" s="207"/>
      <c r="G440" s="20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 spans="1:19" ht="12.75">
      <c r="A441" s="8"/>
      <c r="B441" s="8"/>
      <c r="C441" s="8"/>
      <c r="D441" s="8"/>
      <c r="E441" s="206"/>
      <c r="F441" s="207"/>
      <c r="G441" s="20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 spans="1:19" ht="12.75">
      <c r="A442" s="8"/>
      <c r="B442" s="8"/>
      <c r="C442" s="8"/>
      <c r="D442" s="8"/>
      <c r="E442" s="206"/>
      <c r="F442" s="207"/>
      <c r="G442" s="20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 spans="1:19" ht="12.75">
      <c r="A443" s="8"/>
      <c r="B443" s="8"/>
      <c r="C443" s="8"/>
      <c r="D443" s="8"/>
      <c r="E443" s="206"/>
      <c r="F443" s="207"/>
      <c r="G443" s="20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 spans="1:19" ht="12.75">
      <c r="A444" s="8"/>
      <c r="B444" s="8"/>
      <c r="C444" s="8"/>
      <c r="D444" s="8"/>
      <c r="E444" s="206"/>
      <c r="F444" s="207"/>
      <c r="G444" s="20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 spans="1:19" ht="12.75">
      <c r="A445" s="8"/>
      <c r="B445" s="8"/>
      <c r="C445" s="8"/>
      <c r="D445" s="8"/>
      <c r="E445" s="206"/>
      <c r="F445" s="207"/>
      <c r="G445" s="20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 spans="1:19" ht="12.75">
      <c r="A446" s="8"/>
      <c r="B446" s="8"/>
      <c r="C446" s="8"/>
      <c r="D446" s="8"/>
      <c r="E446" s="206"/>
      <c r="F446" s="207"/>
      <c r="G446" s="20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 spans="1:19" ht="12.75">
      <c r="A447" s="8"/>
      <c r="B447" s="8"/>
      <c r="C447" s="8"/>
      <c r="D447" s="8"/>
      <c r="E447" s="206"/>
      <c r="F447" s="207"/>
      <c r="G447" s="20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 spans="1:19" ht="12.75">
      <c r="A448" s="8"/>
      <c r="B448" s="8"/>
      <c r="C448" s="8"/>
      <c r="D448" s="8"/>
      <c r="E448" s="206"/>
      <c r="F448" s="207"/>
      <c r="G448" s="20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 spans="1:19" ht="12.75">
      <c r="A449" s="8"/>
      <c r="B449" s="8"/>
      <c r="C449" s="8"/>
      <c r="D449" s="8"/>
      <c r="E449" s="206"/>
      <c r="F449" s="207"/>
      <c r="G449" s="20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 spans="1:19" ht="12.75">
      <c r="A450" s="8"/>
      <c r="B450" s="8"/>
      <c r="C450" s="8"/>
      <c r="D450" s="8"/>
      <c r="E450" s="206"/>
      <c r="F450" s="207"/>
      <c r="G450" s="20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 spans="1:19" ht="12.75">
      <c r="A451" s="8"/>
      <c r="B451" s="8"/>
      <c r="C451" s="8"/>
      <c r="D451" s="8"/>
      <c r="E451" s="206"/>
      <c r="F451" s="207"/>
      <c r="G451" s="20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 spans="1:19" ht="12.75">
      <c r="A452" s="8"/>
      <c r="B452" s="8"/>
      <c r="C452" s="8"/>
      <c r="D452" s="8"/>
      <c r="E452" s="206"/>
      <c r="F452" s="207"/>
      <c r="G452" s="20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 spans="1:19" ht="12.75">
      <c r="A453" s="8"/>
      <c r="B453" s="8"/>
      <c r="C453" s="8"/>
      <c r="D453" s="8"/>
      <c r="E453" s="206"/>
      <c r="F453" s="207"/>
      <c r="G453" s="20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 spans="1:19" ht="12.75">
      <c r="A454" s="8"/>
      <c r="B454" s="8"/>
      <c r="C454" s="8"/>
      <c r="D454" s="8"/>
      <c r="E454" s="206"/>
      <c r="F454" s="207"/>
      <c r="G454" s="20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 spans="1:19" ht="12.75">
      <c r="A455" s="8"/>
      <c r="B455" s="8"/>
      <c r="C455" s="8"/>
      <c r="D455" s="8"/>
      <c r="E455" s="206"/>
      <c r="F455" s="207"/>
      <c r="G455" s="20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 spans="1:19" ht="12.75">
      <c r="A456" s="8"/>
      <c r="B456" s="8"/>
      <c r="C456" s="8"/>
      <c r="D456" s="8"/>
      <c r="E456" s="206"/>
      <c r="F456" s="207"/>
      <c r="G456" s="20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 spans="1:19" ht="12.75">
      <c r="A457" s="8"/>
      <c r="B457" s="8"/>
      <c r="C457" s="8"/>
      <c r="D457" s="8"/>
      <c r="E457" s="206"/>
      <c r="F457" s="207"/>
      <c r="G457" s="20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 spans="1:19" ht="12.75">
      <c r="A458" s="8"/>
      <c r="B458" s="8"/>
      <c r="C458" s="8"/>
      <c r="D458" s="8"/>
      <c r="E458" s="206"/>
      <c r="F458" s="207"/>
      <c r="G458" s="20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 spans="1:19" ht="12.75">
      <c r="A459" s="8"/>
      <c r="B459" s="8"/>
      <c r="C459" s="8"/>
      <c r="D459" s="8"/>
      <c r="E459" s="206"/>
      <c r="F459" s="207"/>
      <c r="G459" s="20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 spans="1:19" ht="12.75">
      <c r="A460" s="8"/>
      <c r="B460" s="8"/>
      <c r="C460" s="8"/>
      <c r="D460" s="8"/>
      <c r="E460" s="206"/>
      <c r="F460" s="207"/>
      <c r="G460" s="20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 spans="1:19" ht="12.75">
      <c r="A461" s="8"/>
      <c r="B461" s="8"/>
      <c r="C461" s="8"/>
      <c r="D461" s="8"/>
      <c r="E461" s="206"/>
      <c r="F461" s="207"/>
      <c r="G461" s="20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 spans="1:19" ht="12.75">
      <c r="A462" s="8"/>
      <c r="B462" s="8"/>
      <c r="C462" s="8"/>
      <c r="D462" s="8"/>
      <c r="E462" s="206"/>
      <c r="F462" s="207"/>
      <c r="G462" s="20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 spans="1:19" ht="12.75">
      <c r="A463" s="8"/>
      <c r="B463" s="8"/>
      <c r="C463" s="8"/>
      <c r="D463" s="8"/>
      <c r="E463" s="206"/>
      <c r="F463" s="207"/>
      <c r="G463" s="20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 spans="1:19" ht="12.75">
      <c r="A464" s="8"/>
      <c r="B464" s="8"/>
      <c r="C464" s="8"/>
      <c r="D464" s="8"/>
      <c r="E464" s="206"/>
      <c r="F464" s="207"/>
      <c r="G464" s="20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 spans="1:19" ht="12.75">
      <c r="A465" s="8"/>
      <c r="B465" s="8"/>
      <c r="C465" s="8"/>
      <c r="D465" s="8"/>
      <c r="E465" s="206"/>
      <c r="F465" s="207"/>
      <c r="G465" s="20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 spans="1:19" ht="12.75">
      <c r="A466" s="8"/>
      <c r="B466" s="8"/>
      <c r="C466" s="8"/>
      <c r="D466" s="8"/>
      <c r="E466" s="206"/>
      <c r="F466" s="207"/>
      <c r="G466" s="20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 spans="1:19" ht="12.75">
      <c r="A467" s="8"/>
      <c r="B467" s="8"/>
      <c r="C467" s="8"/>
      <c r="D467" s="8"/>
      <c r="E467" s="206"/>
      <c r="F467" s="207"/>
      <c r="G467" s="20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 spans="1:19" ht="12.75">
      <c r="A468" s="8"/>
      <c r="B468" s="8"/>
      <c r="C468" s="8"/>
      <c r="D468" s="8"/>
      <c r="E468" s="206"/>
      <c r="F468" s="207"/>
      <c r="G468" s="20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 spans="1:19" ht="12.75">
      <c r="A469" s="8"/>
      <c r="B469" s="8"/>
      <c r="C469" s="8"/>
      <c r="D469" s="8"/>
      <c r="E469" s="206"/>
      <c r="F469" s="207"/>
      <c r="G469" s="20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 spans="1:19" ht="12.75">
      <c r="A470" s="8"/>
      <c r="B470" s="8"/>
      <c r="C470" s="8"/>
      <c r="D470" s="8"/>
      <c r="E470" s="206"/>
      <c r="F470" s="207"/>
      <c r="G470" s="20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 spans="1:19" ht="12.75">
      <c r="A471" s="8"/>
      <c r="B471" s="8"/>
      <c r="C471" s="8"/>
      <c r="D471" s="8"/>
      <c r="E471" s="206"/>
      <c r="F471" s="207"/>
      <c r="G471" s="20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 spans="1:19" ht="12.75">
      <c r="A472" s="8"/>
      <c r="B472" s="8"/>
      <c r="C472" s="8"/>
      <c r="D472" s="8"/>
      <c r="E472" s="206"/>
      <c r="F472" s="207"/>
      <c r="G472" s="20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 spans="1:19" ht="12.75">
      <c r="A473" s="8"/>
      <c r="B473" s="8"/>
      <c r="C473" s="8"/>
      <c r="D473" s="8"/>
      <c r="E473" s="206"/>
      <c r="F473" s="207"/>
      <c r="G473" s="20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 spans="1:19" ht="12.75">
      <c r="A474" s="8"/>
      <c r="B474" s="8"/>
      <c r="C474" s="8"/>
      <c r="D474" s="8"/>
      <c r="E474" s="206"/>
      <c r="F474" s="207"/>
      <c r="G474" s="20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 spans="1:19" ht="12.75">
      <c r="A475" s="8"/>
      <c r="B475" s="8"/>
      <c r="C475" s="8"/>
      <c r="D475" s="8"/>
      <c r="E475" s="206"/>
      <c r="F475" s="207"/>
      <c r="G475" s="20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 spans="1:19" ht="12.75">
      <c r="A476" s="8"/>
      <c r="B476" s="8"/>
      <c r="C476" s="8"/>
      <c r="D476" s="8"/>
      <c r="E476" s="206"/>
      <c r="F476" s="207"/>
      <c r="G476" s="20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spans="1:19" ht="12.75">
      <c r="A477" s="8"/>
      <c r="B477" s="8"/>
      <c r="C477" s="8"/>
      <c r="D477" s="8"/>
      <c r="E477" s="206"/>
      <c r="F477" s="207"/>
      <c r="G477" s="20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 spans="1:19" ht="12.75">
      <c r="A478" s="8"/>
      <c r="B478" s="8"/>
      <c r="C478" s="8"/>
      <c r="D478" s="8"/>
      <c r="E478" s="206"/>
      <c r="F478" s="207"/>
      <c r="G478" s="20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spans="1:19" ht="12.75">
      <c r="A479" s="8"/>
      <c r="B479" s="8"/>
      <c r="C479" s="8"/>
      <c r="D479" s="8"/>
      <c r="E479" s="206"/>
      <c r="F479" s="207"/>
      <c r="G479" s="20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 spans="1:19" ht="12.75">
      <c r="A480" s="8"/>
      <c r="B480" s="8"/>
      <c r="C480" s="8"/>
      <c r="D480" s="8"/>
      <c r="E480" s="206"/>
      <c r="F480" s="207"/>
      <c r="G480" s="20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 spans="1:19" ht="12.75">
      <c r="A481" s="8"/>
      <c r="B481" s="8"/>
      <c r="C481" s="8"/>
      <c r="D481" s="8"/>
      <c r="E481" s="206"/>
      <c r="F481" s="207"/>
      <c r="G481" s="20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 spans="1:19" ht="12.75">
      <c r="A482" s="8"/>
      <c r="B482" s="8"/>
      <c r="C482" s="8"/>
      <c r="D482" s="8"/>
      <c r="E482" s="206"/>
      <c r="F482" s="207"/>
      <c r="G482" s="20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 spans="1:19" ht="12.75">
      <c r="A483" s="8"/>
      <c r="B483" s="8"/>
      <c r="C483" s="8"/>
      <c r="D483" s="8"/>
      <c r="E483" s="206"/>
      <c r="F483" s="207"/>
      <c r="G483" s="20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 spans="1:19" ht="12.75">
      <c r="A484" s="8"/>
      <c r="B484" s="8"/>
      <c r="C484" s="8"/>
      <c r="D484" s="8"/>
      <c r="E484" s="206"/>
      <c r="F484" s="207"/>
      <c r="G484" s="20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 spans="1:19" ht="12.75">
      <c r="A485" s="8"/>
      <c r="B485" s="8"/>
      <c r="C485" s="8"/>
      <c r="D485" s="8"/>
      <c r="E485" s="206"/>
      <c r="F485" s="207"/>
      <c r="G485" s="20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 spans="1:19" ht="12.75">
      <c r="A486" s="8"/>
      <c r="B486" s="8"/>
      <c r="C486" s="8"/>
      <c r="D486" s="8"/>
      <c r="E486" s="206"/>
      <c r="F486" s="207"/>
      <c r="G486" s="20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 spans="1:19" ht="12.75">
      <c r="A487" s="8"/>
      <c r="B487" s="8"/>
      <c r="C487" s="8"/>
      <c r="D487" s="8"/>
      <c r="E487" s="206"/>
      <c r="F487" s="207"/>
      <c r="G487" s="20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 spans="1:19" ht="12.75">
      <c r="A488" s="8"/>
      <c r="B488" s="8"/>
      <c r="C488" s="8"/>
      <c r="D488" s="8"/>
      <c r="E488" s="206"/>
      <c r="F488" s="207"/>
      <c r="G488" s="20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 spans="1:19" ht="12.75">
      <c r="A489" s="8"/>
      <c r="B489" s="8"/>
      <c r="C489" s="8"/>
      <c r="D489" s="8"/>
      <c r="E489" s="206"/>
      <c r="F489" s="207"/>
      <c r="G489" s="20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 spans="1:19" ht="12.75">
      <c r="A490" s="8"/>
      <c r="B490" s="8"/>
      <c r="C490" s="8"/>
      <c r="D490" s="8"/>
      <c r="E490" s="206"/>
      <c r="F490" s="207"/>
      <c r="G490" s="20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 spans="1:19" ht="12.75">
      <c r="A491" s="8"/>
      <c r="B491" s="8"/>
      <c r="C491" s="8"/>
      <c r="D491" s="8"/>
      <c r="E491" s="206"/>
      <c r="F491" s="207"/>
      <c r="G491" s="20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 spans="1:19" ht="12.75">
      <c r="A492" s="8"/>
      <c r="B492" s="8"/>
      <c r="C492" s="8"/>
      <c r="D492" s="8"/>
      <c r="E492" s="206"/>
      <c r="F492" s="207"/>
      <c r="G492" s="20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spans="1:19" ht="12.75">
      <c r="A493" s="8"/>
      <c r="B493" s="8"/>
      <c r="C493" s="8"/>
      <c r="D493" s="8"/>
      <c r="E493" s="206"/>
      <c r="F493" s="207"/>
      <c r="G493" s="20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 spans="1:19" ht="12.75">
      <c r="A494" s="8"/>
      <c r="B494" s="8"/>
      <c r="C494" s="8"/>
      <c r="D494" s="8"/>
      <c r="E494" s="206"/>
      <c r="F494" s="207"/>
      <c r="G494" s="20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 spans="1:19" ht="12.75">
      <c r="A495" s="8"/>
      <c r="B495" s="8"/>
      <c r="C495" s="8"/>
      <c r="D495" s="8"/>
      <c r="E495" s="206"/>
      <c r="F495" s="207"/>
      <c r="G495" s="20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 spans="1:19" ht="12.75">
      <c r="A496" s="8"/>
      <c r="B496" s="8"/>
      <c r="C496" s="8"/>
      <c r="D496" s="8"/>
      <c r="E496" s="206"/>
      <c r="F496" s="207"/>
      <c r="G496" s="20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 spans="1:19" ht="12.75">
      <c r="A497" s="8"/>
      <c r="B497" s="8"/>
      <c r="C497" s="8"/>
      <c r="D497" s="8"/>
      <c r="E497" s="206"/>
      <c r="F497" s="207"/>
      <c r="G497" s="20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 spans="1:19" ht="12.75">
      <c r="A498" s="8"/>
      <c r="B498" s="8"/>
      <c r="C498" s="8"/>
      <c r="D498" s="8"/>
      <c r="E498" s="206"/>
      <c r="F498" s="207"/>
      <c r="G498" s="207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 spans="1:19" ht="12.75">
      <c r="A499" s="8"/>
      <c r="B499" s="8"/>
      <c r="C499" s="8"/>
      <c r="D499" s="8"/>
      <c r="E499" s="206"/>
      <c r="F499" s="207"/>
      <c r="G499" s="20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 spans="1:19" ht="12.75">
      <c r="A500" s="8"/>
      <c r="B500" s="8"/>
      <c r="C500" s="8"/>
      <c r="D500" s="8"/>
      <c r="E500" s="206"/>
      <c r="F500" s="207"/>
      <c r="G500" s="20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 spans="1:19" ht="12.75">
      <c r="A501" s="8"/>
      <c r="B501" s="8"/>
      <c r="C501" s="8"/>
      <c r="D501" s="8"/>
      <c r="E501" s="206"/>
      <c r="F501" s="207"/>
      <c r="G501" s="20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 spans="1:19" ht="12.75">
      <c r="A502" s="8"/>
      <c r="B502" s="8"/>
      <c r="C502" s="8"/>
      <c r="D502" s="8"/>
      <c r="E502" s="206"/>
      <c r="F502" s="207"/>
      <c r="G502" s="207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 spans="1:19" ht="12.75">
      <c r="A503" s="8"/>
      <c r="B503" s="8"/>
      <c r="C503" s="8"/>
      <c r="D503" s="8"/>
      <c r="E503" s="206"/>
      <c r="F503" s="207"/>
      <c r="G503" s="207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 spans="1:19" ht="12.75">
      <c r="A504" s="8"/>
      <c r="B504" s="8"/>
      <c r="C504" s="8"/>
      <c r="D504" s="8"/>
      <c r="E504" s="206"/>
      <c r="F504" s="207"/>
      <c r="G504" s="207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 spans="1:19" ht="12.75">
      <c r="A505" s="8"/>
      <c r="B505" s="8"/>
      <c r="C505" s="8"/>
      <c r="D505" s="8"/>
      <c r="E505" s="206"/>
      <c r="F505" s="207"/>
      <c r="G505" s="207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 spans="1:19" ht="12.75">
      <c r="A506" s="8"/>
      <c r="B506" s="8"/>
      <c r="C506" s="8"/>
      <c r="D506" s="8"/>
      <c r="E506" s="206"/>
      <c r="F506" s="207"/>
      <c r="G506" s="20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 spans="1:19" ht="12.75">
      <c r="A507" s="8"/>
      <c r="B507" s="8"/>
      <c r="C507" s="8"/>
      <c r="D507" s="8"/>
      <c r="E507" s="206"/>
      <c r="F507" s="207"/>
      <c r="G507" s="20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 spans="1:19" ht="12.75">
      <c r="A508" s="8"/>
      <c r="B508" s="8"/>
      <c r="C508" s="8"/>
      <c r="D508" s="8"/>
      <c r="E508" s="206"/>
      <c r="F508" s="207"/>
      <c r="G508" s="20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 spans="1:19" ht="12.75">
      <c r="A509" s="8"/>
      <c r="B509" s="8"/>
      <c r="C509" s="8"/>
      <c r="D509" s="8"/>
      <c r="E509" s="206"/>
      <c r="F509" s="207"/>
      <c r="G509" s="20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 spans="1:19" ht="12.75">
      <c r="A510" s="8"/>
      <c r="B510" s="8"/>
      <c r="C510" s="8"/>
      <c r="D510" s="8"/>
      <c r="E510" s="206"/>
      <c r="F510" s="207"/>
      <c r="G510" s="20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spans="1:19" ht="12.75">
      <c r="A511" s="8"/>
      <c r="B511" s="8"/>
      <c r="C511" s="8"/>
      <c r="D511" s="8"/>
      <c r="E511" s="206"/>
      <c r="F511" s="207"/>
      <c r="G511" s="207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 spans="1:19" ht="12.75">
      <c r="A512" s="8"/>
      <c r="B512" s="8"/>
      <c r="C512" s="8"/>
      <c r="D512" s="8"/>
      <c r="E512" s="206"/>
      <c r="F512" s="207"/>
      <c r="G512" s="207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 spans="1:19" ht="12.75">
      <c r="A513" s="8"/>
      <c r="B513" s="8"/>
      <c r="C513" s="8"/>
      <c r="D513" s="8"/>
      <c r="E513" s="206"/>
      <c r="F513" s="207"/>
      <c r="G513" s="20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 spans="1:19" ht="12.75">
      <c r="A514" s="8"/>
      <c r="B514" s="8"/>
      <c r="C514" s="8"/>
      <c r="D514" s="8"/>
      <c r="E514" s="206"/>
      <c r="F514" s="207"/>
      <c r="G514" s="20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 spans="1:19" ht="12.75">
      <c r="A515" s="8"/>
      <c r="B515" s="8"/>
      <c r="C515" s="8"/>
      <c r="D515" s="8"/>
      <c r="E515" s="206"/>
      <c r="F515" s="207"/>
      <c r="G515" s="20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 spans="1:19" ht="12.75">
      <c r="A516" s="8"/>
      <c r="B516" s="8"/>
      <c r="C516" s="8"/>
      <c r="D516" s="8"/>
      <c r="E516" s="206"/>
      <c r="F516" s="207"/>
      <c r="G516" s="20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 spans="1:19" ht="12.75">
      <c r="A517" s="8"/>
      <c r="B517" s="8"/>
      <c r="C517" s="8"/>
      <c r="D517" s="8"/>
      <c r="E517" s="206"/>
      <c r="F517" s="207"/>
      <c r="G517" s="20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 spans="1:19" ht="12.75">
      <c r="A518" s="8"/>
      <c r="B518" s="8"/>
      <c r="C518" s="8"/>
      <c r="D518" s="8"/>
      <c r="E518" s="206"/>
      <c r="F518" s="207"/>
      <c r="G518" s="207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 spans="1:19" ht="12.75">
      <c r="A519" s="8"/>
      <c r="B519" s="8"/>
      <c r="C519" s="8"/>
      <c r="D519" s="8"/>
      <c r="E519" s="206"/>
      <c r="F519" s="207"/>
      <c r="G519" s="20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 spans="1:19" ht="12.75">
      <c r="A520" s="8"/>
      <c r="B520" s="8"/>
      <c r="C520" s="8"/>
      <c r="D520" s="8"/>
      <c r="E520" s="206"/>
      <c r="F520" s="207"/>
      <c r="G520" s="20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 spans="1:19" ht="12.75">
      <c r="A521" s="8"/>
      <c r="B521" s="8"/>
      <c r="C521" s="8"/>
      <c r="D521" s="8"/>
      <c r="E521" s="206"/>
      <c r="F521" s="207"/>
      <c r="G521" s="20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 spans="1:19" ht="12.75">
      <c r="A522" s="8"/>
      <c r="B522" s="8"/>
      <c r="C522" s="8"/>
      <c r="D522" s="8"/>
      <c r="E522" s="206"/>
      <c r="F522" s="207"/>
      <c r="G522" s="207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 spans="1:19" ht="12.75">
      <c r="A523" s="8"/>
      <c r="B523" s="8"/>
      <c r="C523" s="8"/>
      <c r="D523" s="8"/>
      <c r="E523" s="206"/>
      <c r="F523" s="207"/>
      <c r="G523" s="20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 spans="1:19" ht="12.75">
      <c r="A524" s="8"/>
      <c r="B524" s="8"/>
      <c r="C524" s="8"/>
      <c r="D524" s="8"/>
      <c r="E524" s="206"/>
      <c r="F524" s="207"/>
      <c r="G524" s="20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 spans="1:19" ht="12.75">
      <c r="A525" s="8"/>
      <c r="B525" s="8"/>
      <c r="C525" s="8"/>
      <c r="D525" s="8"/>
      <c r="E525" s="206"/>
      <c r="F525" s="207"/>
      <c r="G525" s="20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 spans="1:19" ht="12.75">
      <c r="A526" s="8"/>
      <c r="B526" s="8"/>
      <c r="C526" s="8"/>
      <c r="D526" s="8"/>
      <c r="E526" s="206"/>
      <c r="F526" s="207"/>
      <c r="G526" s="20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 spans="1:19" ht="12.75">
      <c r="A527" s="8"/>
      <c r="B527" s="8"/>
      <c r="C527" s="8"/>
      <c r="D527" s="8"/>
      <c r="E527" s="206"/>
      <c r="F527" s="207"/>
      <c r="G527" s="20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 spans="1:19" ht="12.75">
      <c r="A528" s="8"/>
      <c r="B528" s="8"/>
      <c r="C528" s="8"/>
      <c r="D528" s="8"/>
      <c r="E528" s="206"/>
      <c r="F528" s="207"/>
      <c r="G528" s="20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 spans="1:19" ht="12.75">
      <c r="A529" s="8"/>
      <c r="B529" s="8"/>
      <c r="C529" s="8"/>
      <c r="D529" s="8"/>
      <c r="E529" s="206"/>
      <c r="F529" s="207"/>
      <c r="G529" s="20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 spans="1:19" ht="12.75">
      <c r="A530" s="8"/>
      <c r="B530" s="8"/>
      <c r="C530" s="8"/>
      <c r="D530" s="8"/>
      <c r="E530" s="206"/>
      <c r="F530" s="207"/>
      <c r="G530" s="207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 spans="1:19" ht="12.75">
      <c r="A531" s="8"/>
      <c r="B531" s="8"/>
      <c r="C531" s="8"/>
      <c r="D531" s="8"/>
      <c r="E531" s="206"/>
      <c r="F531" s="207"/>
      <c r="G531" s="20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 spans="1:19" ht="12.75">
      <c r="A532" s="8"/>
      <c r="B532" s="8"/>
      <c r="C532" s="8"/>
      <c r="D532" s="8"/>
      <c r="E532" s="206"/>
      <c r="F532" s="207"/>
      <c r="G532" s="207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 spans="1:19" ht="12.75">
      <c r="A533" s="8"/>
      <c r="B533" s="8"/>
      <c r="C533" s="8"/>
      <c r="D533" s="8"/>
      <c r="E533" s="206"/>
      <c r="F533" s="207"/>
      <c r="G533" s="207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 spans="1:19" ht="12.75">
      <c r="A534" s="8"/>
      <c r="B534" s="8"/>
      <c r="C534" s="8"/>
      <c r="D534" s="8"/>
      <c r="E534" s="206"/>
      <c r="F534" s="207"/>
      <c r="G534" s="20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 spans="1:19" ht="12.75">
      <c r="A535" s="8"/>
      <c r="B535" s="8"/>
      <c r="C535" s="8"/>
      <c r="D535" s="8"/>
      <c r="E535" s="206"/>
      <c r="F535" s="207"/>
      <c r="G535" s="20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 spans="1:19" ht="12.75">
      <c r="A536" s="8"/>
      <c r="B536" s="8"/>
      <c r="C536" s="8"/>
      <c r="D536" s="8"/>
      <c r="E536" s="206"/>
      <c r="F536" s="207"/>
      <c r="G536" s="20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 spans="1:19" ht="12.75">
      <c r="A537" s="8"/>
      <c r="B537" s="8"/>
      <c r="C537" s="8"/>
      <c r="D537" s="8"/>
      <c r="E537" s="206"/>
      <c r="F537" s="207"/>
      <c r="G537" s="20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 spans="1:19" ht="12.75">
      <c r="A538" s="8"/>
      <c r="B538" s="8"/>
      <c r="C538" s="8"/>
      <c r="D538" s="8"/>
      <c r="E538" s="206"/>
      <c r="F538" s="207"/>
      <c r="G538" s="207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spans="1:19" ht="12.75">
      <c r="A539" s="8"/>
      <c r="B539" s="8"/>
      <c r="C539" s="8"/>
      <c r="D539" s="8"/>
      <c r="E539" s="206"/>
      <c r="F539" s="207"/>
      <c r="G539" s="207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 spans="1:19" ht="12.75">
      <c r="A540" s="8"/>
      <c r="B540" s="8"/>
      <c r="C540" s="8"/>
      <c r="D540" s="8"/>
      <c r="E540" s="206"/>
      <c r="F540" s="207"/>
      <c r="G540" s="207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 spans="1:19" ht="12.75">
      <c r="A541" s="8"/>
      <c r="B541" s="8"/>
      <c r="C541" s="8"/>
      <c r="D541" s="8"/>
      <c r="E541" s="206"/>
      <c r="F541" s="207"/>
      <c r="G541" s="207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 spans="1:19" ht="12.75">
      <c r="A542" s="8"/>
      <c r="B542" s="8"/>
      <c r="C542" s="8"/>
      <c r="D542" s="8"/>
      <c r="E542" s="206"/>
      <c r="F542" s="207"/>
      <c r="G542" s="207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 spans="1:19" ht="12.75">
      <c r="A543" s="8"/>
      <c r="B543" s="8"/>
      <c r="C543" s="8"/>
      <c r="D543" s="8"/>
      <c r="E543" s="206"/>
      <c r="F543" s="207"/>
      <c r="G543" s="20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 spans="1:19" ht="12.75">
      <c r="A544" s="8"/>
      <c r="B544" s="8"/>
      <c r="C544" s="8"/>
      <c r="D544" s="8"/>
      <c r="E544" s="206"/>
      <c r="F544" s="207"/>
      <c r="G544" s="20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 spans="1:19" ht="12.75">
      <c r="A545" s="8"/>
      <c r="B545" s="8"/>
      <c r="C545" s="8"/>
      <c r="D545" s="8"/>
      <c r="E545" s="206"/>
      <c r="F545" s="207"/>
      <c r="G545" s="207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 spans="1:19" ht="12.75">
      <c r="A546" s="8"/>
      <c r="B546" s="8"/>
      <c r="C546" s="8"/>
      <c r="D546" s="8"/>
      <c r="E546" s="206"/>
      <c r="F546" s="207"/>
      <c r="G546" s="207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 spans="1:19" ht="12.75">
      <c r="A547" s="8"/>
      <c r="B547" s="8"/>
      <c r="C547" s="8"/>
      <c r="D547" s="8"/>
      <c r="E547" s="206"/>
      <c r="F547" s="207"/>
      <c r="G547" s="207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 spans="1:19" ht="12.75">
      <c r="A548" s="8"/>
      <c r="B548" s="8"/>
      <c r="C548" s="8"/>
      <c r="D548" s="8"/>
      <c r="E548" s="206"/>
      <c r="F548" s="207"/>
      <c r="G548" s="207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 spans="1:19" ht="12.75">
      <c r="A549" s="8"/>
      <c r="B549" s="8"/>
      <c r="C549" s="8"/>
      <c r="D549" s="8"/>
      <c r="E549" s="206"/>
      <c r="F549" s="207"/>
      <c r="G549" s="207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 spans="1:19" ht="12.75">
      <c r="A550" s="8"/>
      <c r="B550" s="8"/>
      <c r="C550" s="8"/>
      <c r="D550" s="8"/>
      <c r="E550" s="206"/>
      <c r="F550" s="207"/>
      <c r="G550" s="207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 spans="1:19" ht="12.75">
      <c r="A551" s="8"/>
      <c r="B551" s="8"/>
      <c r="C551" s="8"/>
      <c r="D551" s="8"/>
      <c r="E551" s="206"/>
      <c r="F551" s="207"/>
      <c r="G551" s="20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 spans="1:19" ht="12.75">
      <c r="A552" s="8"/>
      <c r="B552" s="8"/>
      <c r="C552" s="8"/>
      <c r="D552" s="8"/>
      <c r="E552" s="206"/>
      <c r="F552" s="207"/>
      <c r="G552" s="207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 spans="1:19" ht="12.75">
      <c r="A553" s="8"/>
      <c r="B553" s="8"/>
      <c r="C553" s="8"/>
      <c r="D553" s="8"/>
      <c r="E553" s="206"/>
      <c r="F553" s="207"/>
      <c r="G553" s="20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 spans="1:19" ht="12.75">
      <c r="A554" s="8"/>
      <c r="B554" s="8"/>
      <c r="C554" s="8"/>
      <c r="D554" s="8"/>
      <c r="E554" s="206"/>
      <c r="F554" s="207"/>
      <c r="G554" s="207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 spans="1:19" ht="12.75">
      <c r="A555" s="8"/>
      <c r="B555" s="8"/>
      <c r="C555" s="8"/>
      <c r="D555" s="8"/>
      <c r="E555" s="206"/>
      <c r="F555" s="207"/>
      <c r="G555" s="207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 spans="1:19" ht="12.75">
      <c r="A556" s="8"/>
      <c r="B556" s="8"/>
      <c r="C556" s="8"/>
      <c r="D556" s="8"/>
      <c r="E556" s="206"/>
      <c r="F556" s="207"/>
      <c r="G556" s="207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 spans="1:19" ht="12.75">
      <c r="A557" s="8"/>
      <c r="B557" s="8"/>
      <c r="C557" s="8"/>
      <c r="D557" s="8"/>
      <c r="E557" s="206"/>
      <c r="F557" s="207"/>
      <c r="G557" s="20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 spans="1:19" ht="12.75">
      <c r="A558" s="8"/>
      <c r="B558" s="8"/>
      <c r="C558" s="8"/>
      <c r="D558" s="8"/>
      <c r="E558" s="206"/>
      <c r="F558" s="207"/>
      <c r="G558" s="207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 spans="1:19" ht="12.75">
      <c r="A559" s="8"/>
      <c r="B559" s="8"/>
      <c r="C559" s="8"/>
      <c r="D559" s="8"/>
      <c r="E559" s="206"/>
      <c r="F559" s="207"/>
      <c r="G559" s="20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 spans="1:19" ht="12.75">
      <c r="A560" s="8"/>
      <c r="B560" s="8"/>
      <c r="C560" s="8"/>
      <c r="D560" s="8"/>
      <c r="E560" s="206"/>
      <c r="F560" s="207"/>
      <c r="G560" s="20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 spans="1:19" ht="12.75">
      <c r="A561" s="8"/>
      <c r="B561" s="8"/>
      <c r="C561" s="8"/>
      <c r="D561" s="8"/>
      <c r="E561" s="206"/>
      <c r="F561" s="207"/>
      <c r="G561" s="207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 spans="1:19" ht="12.75">
      <c r="A562" s="8"/>
      <c r="B562" s="8"/>
      <c r="C562" s="8"/>
      <c r="D562" s="8"/>
      <c r="E562" s="206"/>
      <c r="F562" s="207"/>
      <c r="G562" s="207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 spans="1:19" ht="12.75">
      <c r="A563" s="8"/>
      <c r="B563" s="8"/>
      <c r="C563" s="8"/>
      <c r="D563" s="8"/>
      <c r="E563" s="206"/>
      <c r="F563" s="207"/>
      <c r="G563" s="207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spans="1:19" ht="12.75">
      <c r="A564" s="8"/>
      <c r="B564" s="8"/>
      <c r="C564" s="8"/>
      <c r="D564" s="8"/>
      <c r="E564" s="206"/>
      <c r="F564" s="207"/>
      <c r="G564" s="207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 spans="1:19" ht="12.75">
      <c r="A565" s="8"/>
      <c r="B565" s="8"/>
      <c r="C565" s="8"/>
      <c r="D565" s="8"/>
      <c r="E565" s="206"/>
      <c r="F565" s="207"/>
      <c r="G565" s="207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 spans="1:19" ht="12.75">
      <c r="A566" s="8"/>
      <c r="B566" s="8"/>
      <c r="C566" s="8"/>
      <c r="D566" s="8"/>
      <c r="E566" s="206"/>
      <c r="F566" s="207"/>
      <c r="G566" s="20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 spans="1:19" ht="12.75">
      <c r="A567" s="8"/>
      <c r="B567" s="8"/>
      <c r="C567" s="8"/>
      <c r="D567" s="8"/>
      <c r="E567" s="206"/>
      <c r="F567" s="207"/>
      <c r="G567" s="20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 spans="1:19" ht="12.75">
      <c r="A568" s="8"/>
      <c r="B568" s="8"/>
      <c r="C568" s="8"/>
      <c r="D568" s="8"/>
      <c r="E568" s="206"/>
      <c r="F568" s="207"/>
      <c r="G568" s="20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 spans="1:19" ht="12.75">
      <c r="A569" s="8"/>
      <c r="B569" s="8"/>
      <c r="C569" s="8"/>
      <c r="D569" s="8"/>
      <c r="E569" s="206"/>
      <c r="F569" s="207"/>
      <c r="G569" s="207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 spans="1:19" ht="12.75">
      <c r="A570" s="8"/>
      <c r="B570" s="8"/>
      <c r="C570" s="8"/>
      <c r="D570" s="8"/>
      <c r="E570" s="206"/>
      <c r="F570" s="207"/>
      <c r="G570" s="207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 spans="1:19" ht="12.75">
      <c r="A571" s="8"/>
      <c r="B571" s="8"/>
      <c r="C571" s="8"/>
      <c r="D571" s="8"/>
      <c r="E571" s="206"/>
      <c r="F571" s="207"/>
      <c r="G571" s="207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 spans="1:19" ht="12.75">
      <c r="A572" s="8"/>
      <c r="B572" s="8"/>
      <c r="C572" s="8"/>
      <c r="D572" s="8"/>
      <c r="E572" s="206"/>
      <c r="F572" s="207"/>
      <c r="G572" s="207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 spans="1:19" ht="12.75">
      <c r="A573" s="8"/>
      <c r="B573" s="8"/>
      <c r="C573" s="8"/>
      <c r="D573" s="8"/>
      <c r="E573" s="206"/>
      <c r="F573" s="207"/>
      <c r="G573" s="207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 spans="1:19" ht="12.75">
      <c r="A574" s="8"/>
      <c r="B574" s="8"/>
      <c r="C574" s="8"/>
      <c r="D574" s="8"/>
      <c r="E574" s="206"/>
      <c r="F574" s="207"/>
      <c r="G574" s="207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 spans="1:19" ht="12.75">
      <c r="A575" s="8"/>
      <c r="B575" s="8"/>
      <c r="C575" s="8"/>
      <c r="D575" s="8"/>
      <c r="E575" s="206"/>
      <c r="F575" s="207"/>
      <c r="G575" s="207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 spans="1:19" ht="12.75">
      <c r="A576" s="8"/>
      <c r="B576" s="8"/>
      <c r="C576" s="8"/>
      <c r="D576" s="8"/>
      <c r="E576" s="206"/>
      <c r="F576" s="207"/>
      <c r="G576" s="207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 spans="1:19" ht="12.75">
      <c r="A577" s="8"/>
      <c r="B577" s="8"/>
      <c r="C577" s="8"/>
      <c r="D577" s="8"/>
      <c r="E577" s="206"/>
      <c r="F577" s="207"/>
      <c r="G577" s="20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 spans="1:19" ht="12.75">
      <c r="A578" s="8"/>
      <c r="B578" s="8"/>
      <c r="C578" s="8"/>
      <c r="D578" s="8"/>
      <c r="E578" s="206"/>
      <c r="F578" s="207"/>
      <c r="G578" s="207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 spans="1:19" ht="12.75">
      <c r="A579" s="8"/>
      <c r="B579" s="8"/>
      <c r="C579" s="8"/>
      <c r="D579" s="8"/>
      <c r="E579" s="206"/>
      <c r="F579" s="207"/>
      <c r="G579" s="207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 spans="1:19" ht="12.75">
      <c r="A580" s="8"/>
      <c r="B580" s="8"/>
      <c r="C580" s="8"/>
      <c r="D580" s="8"/>
      <c r="E580" s="206"/>
      <c r="F580" s="207"/>
      <c r="G580" s="207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 spans="1:19" ht="12.75">
      <c r="A581" s="8"/>
      <c r="B581" s="8"/>
      <c r="C581" s="8"/>
      <c r="D581" s="8"/>
      <c r="E581" s="206"/>
      <c r="F581" s="207"/>
      <c r="G581" s="207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 spans="1:19" ht="12.75">
      <c r="A582" s="8"/>
      <c r="B582" s="8"/>
      <c r="C582" s="8"/>
      <c r="D582" s="8"/>
      <c r="E582" s="206"/>
      <c r="F582" s="207"/>
      <c r="G582" s="20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spans="1:19" ht="12.75">
      <c r="A583" s="8"/>
      <c r="B583" s="8"/>
      <c r="C583" s="8"/>
      <c r="D583" s="8"/>
      <c r="E583" s="206"/>
      <c r="F583" s="207"/>
      <c r="G583" s="207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 spans="1:19" ht="12.75">
      <c r="A584" s="8"/>
      <c r="B584" s="8"/>
      <c r="C584" s="8"/>
      <c r="D584" s="8"/>
      <c r="E584" s="206"/>
      <c r="F584" s="207"/>
      <c r="G584" s="207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 spans="1:19" ht="12.75">
      <c r="A585" s="8"/>
      <c r="B585" s="8"/>
      <c r="C585" s="8"/>
      <c r="D585" s="8"/>
      <c r="E585" s="206"/>
      <c r="F585" s="207"/>
      <c r="G585" s="20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 spans="1:19" ht="12.75">
      <c r="A586" s="8"/>
      <c r="B586" s="8"/>
      <c r="C586" s="8"/>
      <c r="D586" s="8"/>
      <c r="E586" s="206"/>
      <c r="F586" s="207"/>
      <c r="G586" s="207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 spans="1:19" ht="12.75">
      <c r="A587" s="8"/>
      <c r="B587" s="8"/>
      <c r="C587" s="8"/>
      <c r="D587" s="8"/>
      <c r="E587" s="206"/>
      <c r="F587" s="207"/>
      <c r="G587" s="207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 spans="1:19" ht="12.75">
      <c r="A588" s="8"/>
      <c r="B588" s="8"/>
      <c r="C588" s="8"/>
      <c r="D588" s="8"/>
      <c r="E588" s="206"/>
      <c r="F588" s="207"/>
      <c r="G588" s="207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 spans="1:19" ht="12.75">
      <c r="A589" s="8"/>
      <c r="B589" s="8"/>
      <c r="C589" s="8"/>
      <c r="D589" s="8"/>
      <c r="E589" s="206"/>
      <c r="F589" s="207"/>
      <c r="G589" s="207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 spans="1:19" ht="12.75">
      <c r="A590" s="8"/>
      <c r="B590" s="8"/>
      <c r="C590" s="8"/>
      <c r="D590" s="8"/>
      <c r="E590" s="206"/>
      <c r="F590" s="207"/>
      <c r="G590" s="20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 spans="1:19" ht="12.75">
      <c r="A591" s="8"/>
      <c r="B591" s="8"/>
      <c r="C591" s="8"/>
      <c r="D591" s="8"/>
      <c r="E591" s="206"/>
      <c r="F591" s="207"/>
      <c r="G591" s="207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 spans="1:19" ht="12.75">
      <c r="A592" s="8"/>
      <c r="B592" s="8"/>
      <c r="C592" s="8"/>
      <c r="D592" s="8"/>
      <c r="E592" s="206"/>
      <c r="F592" s="207"/>
      <c r="G592" s="207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 spans="1:19" ht="12.75">
      <c r="A593" s="8"/>
      <c r="B593" s="8"/>
      <c r="C593" s="8"/>
      <c r="D593" s="8"/>
      <c r="E593" s="206"/>
      <c r="F593" s="207"/>
      <c r="G593" s="207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 spans="1:19" ht="12.75">
      <c r="A594" s="8"/>
      <c r="B594" s="8"/>
      <c r="C594" s="8"/>
      <c r="D594" s="8"/>
      <c r="E594" s="206"/>
      <c r="F594" s="207"/>
      <c r="G594" s="207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 spans="1:19" ht="12.75">
      <c r="A595" s="8"/>
      <c r="B595" s="8"/>
      <c r="C595" s="8"/>
      <c r="D595" s="8"/>
      <c r="E595" s="206"/>
      <c r="F595" s="207"/>
      <c r="G595" s="207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 spans="1:19" ht="12.75">
      <c r="A596" s="8"/>
      <c r="B596" s="8"/>
      <c r="C596" s="8"/>
      <c r="D596" s="8"/>
      <c r="E596" s="206"/>
      <c r="F596" s="207"/>
      <c r="G596" s="207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 spans="1:19" ht="12.75">
      <c r="A597" s="8"/>
      <c r="B597" s="8"/>
      <c r="C597" s="8"/>
      <c r="D597" s="8"/>
      <c r="E597" s="206"/>
      <c r="F597" s="207"/>
      <c r="G597" s="207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 spans="1:19" ht="12.75">
      <c r="A598" s="8"/>
      <c r="B598" s="8"/>
      <c r="C598" s="8"/>
      <c r="D598" s="8"/>
      <c r="E598" s="206"/>
      <c r="F598" s="207"/>
      <c r="G598" s="207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 spans="1:19" ht="12.75">
      <c r="A599" s="8"/>
      <c r="B599" s="8"/>
      <c r="C599" s="8"/>
      <c r="D599" s="8"/>
      <c r="E599" s="206"/>
      <c r="F599" s="207"/>
      <c r="G599" s="207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 spans="1:19" ht="12.75">
      <c r="A600" s="8"/>
      <c r="B600" s="8"/>
      <c r="C600" s="8"/>
      <c r="D600" s="8"/>
      <c r="E600" s="206"/>
      <c r="F600" s="207"/>
      <c r="G600" s="207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 spans="1:19" ht="12.75">
      <c r="A601" s="8"/>
      <c r="B601" s="8"/>
      <c r="C601" s="8"/>
      <c r="D601" s="8"/>
      <c r="E601" s="206"/>
      <c r="F601" s="207"/>
      <c r="G601" s="207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 spans="1:19" ht="12.75">
      <c r="A602" s="8"/>
      <c r="B602" s="8"/>
      <c r="C602" s="8"/>
      <c r="D602" s="8"/>
      <c r="E602" s="206"/>
      <c r="F602" s="207"/>
      <c r="G602" s="207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 spans="1:19" ht="12.75">
      <c r="A603" s="8"/>
      <c r="B603" s="8"/>
      <c r="C603" s="8"/>
      <c r="D603" s="8"/>
      <c r="E603" s="206"/>
      <c r="F603" s="207"/>
      <c r="G603" s="207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 spans="1:19" ht="12.75">
      <c r="A604" s="8"/>
      <c r="B604" s="8"/>
      <c r="C604" s="8"/>
      <c r="D604" s="8"/>
      <c r="E604" s="206"/>
      <c r="F604" s="207"/>
      <c r="G604" s="207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 spans="1:19" ht="12.75">
      <c r="A605" s="8"/>
      <c r="B605" s="8"/>
      <c r="C605" s="8"/>
      <c r="D605" s="8"/>
      <c r="E605" s="206"/>
      <c r="F605" s="207"/>
      <c r="G605" s="207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 spans="1:19" ht="12.75">
      <c r="A606" s="8"/>
      <c r="B606" s="8"/>
      <c r="C606" s="8"/>
      <c r="D606" s="8"/>
      <c r="E606" s="206"/>
      <c r="F606" s="207"/>
      <c r="G606" s="207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 spans="1:19" ht="12.75">
      <c r="A607" s="8"/>
      <c r="B607" s="8"/>
      <c r="C607" s="8"/>
      <c r="D607" s="8"/>
      <c r="E607" s="206"/>
      <c r="F607" s="207"/>
      <c r="G607" s="207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 spans="1:19" ht="12.75">
      <c r="A608" s="8"/>
      <c r="B608" s="8"/>
      <c r="C608" s="8"/>
      <c r="D608" s="8"/>
      <c r="E608" s="206"/>
      <c r="F608" s="207"/>
      <c r="G608" s="207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 spans="1:19" ht="12.75">
      <c r="A609" s="8"/>
      <c r="B609" s="8"/>
      <c r="C609" s="8"/>
      <c r="D609" s="8"/>
      <c r="E609" s="206"/>
      <c r="F609" s="207"/>
      <c r="G609" s="207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 spans="1:19" ht="12.75">
      <c r="A610" s="8"/>
      <c r="B610" s="8"/>
      <c r="C610" s="8"/>
      <c r="D610" s="8"/>
      <c r="E610" s="206"/>
      <c r="F610" s="207"/>
      <c r="G610" s="207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 spans="1:19" ht="12.75">
      <c r="A611" s="8"/>
      <c r="B611" s="8"/>
      <c r="C611" s="8"/>
      <c r="D611" s="8"/>
      <c r="E611" s="206"/>
      <c r="F611" s="207"/>
      <c r="G611" s="207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 spans="1:19" ht="12.75">
      <c r="A612" s="8"/>
      <c r="B612" s="8"/>
      <c r="C612" s="8"/>
      <c r="D612" s="8"/>
      <c r="E612" s="206"/>
      <c r="F612" s="207"/>
      <c r="G612" s="207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 spans="1:19" ht="12.75">
      <c r="A613" s="8"/>
      <c r="B613" s="8"/>
      <c r="C613" s="8"/>
      <c r="D613" s="8"/>
      <c r="E613" s="206"/>
      <c r="F613" s="207"/>
      <c r="G613" s="207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 spans="1:19" ht="12.75">
      <c r="A614" s="8"/>
      <c r="B614" s="8"/>
      <c r="C614" s="8"/>
      <c r="D614" s="8"/>
      <c r="E614" s="206"/>
      <c r="F614" s="207"/>
      <c r="G614" s="207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 spans="1:19" ht="12.75">
      <c r="A615" s="8"/>
      <c r="B615" s="8"/>
      <c r="C615" s="8"/>
      <c r="D615" s="8"/>
      <c r="E615" s="206"/>
      <c r="F615" s="207"/>
      <c r="G615" s="207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 spans="1:19" ht="12.75">
      <c r="A616" s="8"/>
      <c r="B616" s="8"/>
      <c r="C616" s="8"/>
      <c r="D616" s="8"/>
      <c r="E616" s="206"/>
      <c r="F616" s="207"/>
      <c r="G616" s="207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 spans="1:19" ht="12.75">
      <c r="A617" s="8"/>
      <c r="B617" s="8"/>
      <c r="C617" s="8"/>
      <c r="D617" s="8"/>
      <c r="E617" s="206"/>
      <c r="F617" s="207"/>
      <c r="G617" s="207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 spans="1:19" ht="12.75">
      <c r="A618" s="8"/>
      <c r="B618" s="8"/>
      <c r="C618" s="8"/>
      <c r="D618" s="8"/>
      <c r="E618" s="206"/>
      <c r="F618" s="207"/>
      <c r="G618" s="207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 spans="1:19" ht="12.75">
      <c r="A619" s="8"/>
      <c r="B619" s="8"/>
      <c r="C619" s="8"/>
      <c r="D619" s="8"/>
      <c r="E619" s="206"/>
      <c r="F619" s="207"/>
      <c r="G619" s="20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 spans="1:19" ht="12.75">
      <c r="A620" s="8"/>
      <c r="B620" s="8"/>
      <c r="C620" s="8"/>
      <c r="D620" s="8"/>
      <c r="E620" s="206"/>
      <c r="F620" s="207"/>
      <c r="G620" s="207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 spans="1:19" ht="12.75">
      <c r="A621" s="8"/>
      <c r="B621" s="8"/>
      <c r="C621" s="8"/>
      <c r="D621" s="8"/>
      <c r="E621" s="206"/>
      <c r="F621" s="207"/>
      <c r="G621" s="207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spans="1:19" ht="12.75">
      <c r="A622" s="8"/>
      <c r="B622" s="8"/>
      <c r="C622" s="8"/>
      <c r="D622" s="8"/>
      <c r="E622" s="206"/>
      <c r="F622" s="207"/>
      <c r="G622" s="207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 spans="1:19" ht="12.75">
      <c r="A623" s="8"/>
      <c r="B623" s="8"/>
      <c r="C623" s="8"/>
      <c r="D623" s="8"/>
      <c r="E623" s="206"/>
      <c r="F623" s="207"/>
      <c r="G623" s="207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 spans="1:19" ht="12.75">
      <c r="A624" s="8"/>
      <c r="B624" s="8"/>
      <c r="C624" s="8"/>
      <c r="D624" s="8"/>
      <c r="E624" s="206"/>
      <c r="F624" s="207"/>
      <c r="G624" s="20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 spans="1:19" ht="12.75">
      <c r="A625" s="8"/>
      <c r="B625" s="8"/>
      <c r="C625" s="8"/>
      <c r="D625" s="8"/>
      <c r="E625" s="206"/>
      <c r="F625" s="207"/>
      <c r="G625" s="20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 spans="1:19" ht="12.75">
      <c r="A626" s="8"/>
      <c r="B626" s="8"/>
      <c r="C626" s="8"/>
      <c r="D626" s="8"/>
      <c r="E626" s="206"/>
      <c r="F626" s="207"/>
      <c r="G626" s="20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 spans="1:19" ht="12.75">
      <c r="A627" s="8"/>
      <c r="B627" s="8"/>
      <c r="C627" s="8"/>
      <c r="D627" s="8"/>
      <c r="E627" s="206"/>
      <c r="F627" s="207"/>
      <c r="G627" s="20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 spans="1:19" ht="12.75">
      <c r="A628" s="8"/>
      <c r="B628" s="8"/>
      <c r="C628" s="8"/>
      <c r="D628" s="8"/>
      <c r="E628" s="206"/>
      <c r="F628" s="207"/>
      <c r="G628" s="20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 spans="1:19" ht="12.75">
      <c r="A629" s="8"/>
      <c r="B629" s="8"/>
      <c r="C629" s="8"/>
      <c r="D629" s="8"/>
      <c r="E629" s="206"/>
      <c r="F629" s="207"/>
      <c r="G629" s="20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 spans="1:19" ht="12.75">
      <c r="A630" s="8"/>
      <c r="B630" s="8"/>
      <c r="C630" s="8"/>
      <c r="D630" s="8"/>
      <c r="E630" s="206"/>
      <c r="F630" s="207"/>
      <c r="G630" s="20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 spans="1:19" ht="12.75">
      <c r="A631" s="8"/>
      <c r="B631" s="8"/>
      <c r="C631" s="8"/>
      <c r="D631" s="8"/>
      <c r="E631" s="206"/>
      <c r="F631" s="207"/>
      <c r="G631" s="20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 spans="1:19" ht="12.75">
      <c r="A632" s="8"/>
      <c r="B632" s="8"/>
      <c r="C632" s="8"/>
      <c r="D632" s="8"/>
      <c r="E632" s="206"/>
      <c r="F632" s="207"/>
      <c r="G632" s="20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 spans="1:19" ht="12.75">
      <c r="A633" s="8"/>
      <c r="B633" s="8"/>
      <c r="C633" s="8"/>
      <c r="D633" s="8"/>
      <c r="E633" s="206"/>
      <c r="F633" s="207"/>
      <c r="G633" s="20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 spans="1:19" ht="12.75">
      <c r="A634" s="8"/>
      <c r="B634" s="8"/>
      <c r="C634" s="8"/>
      <c r="D634" s="8"/>
      <c r="E634" s="206"/>
      <c r="F634" s="207"/>
      <c r="G634" s="20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 spans="1:19" ht="12.75">
      <c r="A635" s="8"/>
      <c r="B635" s="8"/>
      <c r="C635" s="8"/>
      <c r="D635" s="8"/>
      <c r="E635" s="206"/>
      <c r="F635" s="207"/>
      <c r="G635" s="20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 spans="1:19" ht="12.75">
      <c r="A636" s="8"/>
      <c r="B636" s="8"/>
      <c r="C636" s="8"/>
      <c r="D636" s="8"/>
      <c r="E636" s="206"/>
      <c r="F636" s="207"/>
      <c r="G636" s="20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 spans="1:19" ht="12.75">
      <c r="A637" s="8"/>
      <c r="B637" s="8"/>
      <c r="C637" s="8"/>
      <c r="D637" s="8"/>
      <c r="E637" s="206"/>
      <c r="F637" s="207"/>
      <c r="G637" s="20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 spans="1:19" ht="12.75">
      <c r="A638" s="8"/>
      <c r="B638" s="8"/>
      <c r="C638" s="8"/>
      <c r="D638" s="8"/>
      <c r="E638" s="206"/>
      <c r="F638" s="207"/>
      <c r="G638" s="20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 spans="1:19" ht="12.75">
      <c r="A639" s="8"/>
      <c r="B639" s="8"/>
      <c r="C639" s="8"/>
      <c r="D639" s="8"/>
      <c r="E639" s="206"/>
      <c r="F639" s="207"/>
      <c r="G639" s="20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 spans="1:19" ht="12.75">
      <c r="A640" s="8"/>
      <c r="B640" s="8"/>
      <c r="C640" s="8"/>
      <c r="D640" s="8"/>
      <c r="E640" s="206"/>
      <c r="F640" s="207"/>
      <c r="G640" s="20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 spans="1:19" ht="12.75">
      <c r="A641" s="8"/>
      <c r="B641" s="8"/>
      <c r="C641" s="8"/>
      <c r="D641" s="8"/>
      <c r="E641" s="206"/>
      <c r="F641" s="207"/>
      <c r="G641" s="20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 spans="1:19" ht="12.75">
      <c r="A642" s="8"/>
      <c r="B642" s="8"/>
      <c r="C642" s="8"/>
      <c r="D642" s="8"/>
      <c r="E642" s="206"/>
      <c r="F642" s="207"/>
      <c r="G642" s="20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 spans="1:19" ht="12.75">
      <c r="A643" s="8"/>
      <c r="B643" s="8"/>
      <c r="C643" s="8"/>
      <c r="D643" s="8"/>
      <c r="E643" s="206"/>
      <c r="F643" s="207"/>
      <c r="G643" s="20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 spans="1:19" ht="12.75">
      <c r="A644" s="8"/>
      <c r="B644" s="8"/>
      <c r="C644" s="8"/>
      <c r="D644" s="8"/>
      <c r="E644" s="206"/>
      <c r="F644" s="207"/>
      <c r="G644" s="20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 spans="1:19" ht="12.75">
      <c r="A645" s="8"/>
      <c r="B645" s="8"/>
      <c r="C645" s="8"/>
      <c r="D645" s="8"/>
      <c r="E645" s="206"/>
      <c r="F645" s="207"/>
      <c r="G645" s="20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 spans="1:19" ht="12.75">
      <c r="A646" s="8"/>
      <c r="B646" s="8"/>
      <c r="C646" s="8"/>
      <c r="D646" s="8"/>
      <c r="E646" s="206"/>
      <c r="F646" s="207"/>
      <c r="G646" s="20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 spans="1:19" ht="12.75">
      <c r="A647" s="8"/>
      <c r="B647" s="8"/>
      <c r="C647" s="8"/>
      <c r="D647" s="8"/>
      <c r="E647" s="206"/>
      <c r="F647" s="207"/>
      <c r="G647" s="20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 spans="1:19" ht="12.75">
      <c r="A648" s="8"/>
      <c r="B648" s="8"/>
      <c r="C648" s="8"/>
      <c r="D648" s="8"/>
      <c r="E648" s="206"/>
      <c r="F648" s="207"/>
      <c r="G648" s="20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 spans="1:19" ht="12.75">
      <c r="A649" s="8"/>
      <c r="B649" s="8"/>
      <c r="C649" s="8"/>
      <c r="D649" s="8"/>
      <c r="E649" s="206"/>
      <c r="F649" s="207"/>
      <c r="G649" s="20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 spans="1:19" ht="12.75">
      <c r="A650" s="8"/>
      <c r="B650" s="8"/>
      <c r="C650" s="8"/>
      <c r="D650" s="8"/>
      <c r="E650" s="206"/>
      <c r="F650" s="207"/>
      <c r="G650" s="20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 spans="1:19" ht="12.75">
      <c r="A651" s="8"/>
      <c r="B651" s="8"/>
      <c r="C651" s="8"/>
      <c r="D651" s="8"/>
      <c r="E651" s="206"/>
      <c r="F651" s="207"/>
      <c r="G651" s="20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 spans="1:19" ht="12.75">
      <c r="A652" s="8"/>
      <c r="B652" s="8"/>
      <c r="C652" s="8"/>
      <c r="D652" s="8"/>
      <c r="E652" s="206"/>
      <c r="F652" s="207"/>
      <c r="G652" s="20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 spans="1:19" ht="12.75">
      <c r="A653" s="8"/>
      <c r="B653" s="8"/>
      <c r="C653" s="8"/>
      <c r="D653" s="8"/>
      <c r="E653" s="206"/>
      <c r="F653" s="207"/>
      <c r="G653" s="20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 spans="1:19" ht="12.75">
      <c r="A654" s="8"/>
      <c r="B654" s="8"/>
      <c r="C654" s="8"/>
      <c r="D654" s="8"/>
      <c r="E654" s="206"/>
      <c r="F654" s="207"/>
      <c r="G654" s="20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 spans="1:19" ht="12.75">
      <c r="A655" s="8"/>
      <c r="B655" s="8"/>
      <c r="C655" s="8"/>
      <c r="D655" s="8"/>
      <c r="E655" s="206"/>
      <c r="F655" s="207"/>
      <c r="G655" s="20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 spans="1:19" ht="12.75">
      <c r="A656" s="8"/>
      <c r="B656" s="8"/>
      <c r="C656" s="8"/>
      <c r="D656" s="8"/>
      <c r="E656" s="206"/>
      <c r="F656" s="207"/>
      <c r="G656" s="20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 spans="1:19" ht="12.75">
      <c r="A657" s="8"/>
      <c r="B657" s="8"/>
      <c r="C657" s="8"/>
      <c r="D657" s="8"/>
      <c r="E657" s="206"/>
      <c r="F657" s="207"/>
      <c r="G657" s="20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 spans="1:19" ht="12.75">
      <c r="A658" s="8"/>
      <c r="B658" s="8"/>
      <c r="C658" s="8"/>
      <c r="D658" s="8"/>
      <c r="E658" s="206"/>
      <c r="F658" s="207"/>
      <c r="G658" s="20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 spans="1:19" ht="12.75">
      <c r="A659" s="8"/>
      <c r="B659" s="8"/>
      <c r="C659" s="8"/>
      <c r="D659" s="8"/>
      <c r="E659" s="206"/>
      <c r="F659" s="207"/>
      <c r="G659" s="20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 spans="1:19" ht="12.75">
      <c r="A660" s="8"/>
      <c r="B660" s="8"/>
      <c r="C660" s="8"/>
      <c r="D660" s="8"/>
      <c r="E660" s="206"/>
      <c r="F660" s="207"/>
      <c r="G660" s="20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 spans="1:19" ht="12.75">
      <c r="A661" s="8"/>
      <c r="B661" s="8"/>
      <c r="C661" s="8"/>
      <c r="D661" s="8"/>
      <c r="E661" s="206"/>
      <c r="F661" s="207"/>
      <c r="G661" s="20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 spans="1:19" ht="12.75">
      <c r="A662" s="8"/>
      <c r="B662" s="8"/>
      <c r="C662" s="8"/>
      <c r="D662" s="8"/>
      <c r="E662" s="206"/>
      <c r="F662" s="207"/>
      <c r="G662" s="20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 spans="1:19" ht="12.75">
      <c r="A663" s="8"/>
      <c r="B663" s="8"/>
      <c r="C663" s="8"/>
      <c r="D663" s="8"/>
      <c r="E663" s="206"/>
      <c r="F663" s="207"/>
      <c r="G663" s="20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 spans="1:19" ht="12.75">
      <c r="A664" s="8"/>
      <c r="B664" s="8"/>
      <c r="C664" s="8"/>
      <c r="D664" s="8"/>
      <c r="E664" s="206"/>
      <c r="F664" s="207"/>
      <c r="G664" s="20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 spans="1:19" ht="12.75">
      <c r="A665" s="8"/>
      <c r="B665" s="8"/>
      <c r="C665" s="8"/>
      <c r="D665" s="8"/>
      <c r="E665" s="206"/>
      <c r="F665" s="207"/>
      <c r="G665" s="20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 spans="1:19" ht="12.75">
      <c r="A666" s="8"/>
      <c r="B666" s="8"/>
      <c r="C666" s="8"/>
      <c r="D666" s="8"/>
      <c r="E666" s="206"/>
      <c r="F666" s="207"/>
      <c r="G666" s="20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 spans="1:19" ht="12.75">
      <c r="A667" s="8"/>
      <c r="B667" s="8"/>
      <c r="C667" s="8"/>
      <c r="D667" s="8"/>
      <c r="E667" s="206"/>
      <c r="F667" s="207"/>
      <c r="G667" s="20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 spans="1:19" ht="12.75">
      <c r="A668" s="8"/>
      <c r="B668" s="8"/>
      <c r="C668" s="8"/>
      <c r="D668" s="8"/>
      <c r="E668" s="206"/>
      <c r="F668" s="207"/>
      <c r="G668" s="20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 spans="1:19" ht="12.75">
      <c r="A669" s="8"/>
      <c r="B669" s="8"/>
      <c r="C669" s="8"/>
      <c r="D669" s="8"/>
      <c r="E669" s="206"/>
      <c r="F669" s="207"/>
      <c r="G669" s="20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 spans="1:19" ht="12.75">
      <c r="A670" s="8"/>
      <c r="B670" s="8"/>
      <c r="C670" s="8"/>
      <c r="D670" s="8"/>
      <c r="E670" s="206"/>
      <c r="F670" s="207"/>
      <c r="G670" s="20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 spans="1:19" ht="12.75">
      <c r="A671" s="8"/>
      <c r="B671" s="8"/>
      <c r="C671" s="8"/>
      <c r="D671" s="8"/>
      <c r="E671" s="206"/>
      <c r="F671" s="207"/>
      <c r="G671" s="20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 spans="1:19" ht="12.75">
      <c r="A672" s="8"/>
      <c r="B672" s="8"/>
      <c r="C672" s="8"/>
      <c r="D672" s="8"/>
      <c r="E672" s="206"/>
      <c r="F672" s="207"/>
      <c r="G672" s="20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 spans="1:19" ht="12.75">
      <c r="A673" s="8"/>
      <c r="B673" s="8"/>
      <c r="C673" s="8"/>
      <c r="D673" s="8"/>
      <c r="E673" s="206"/>
      <c r="F673" s="207"/>
      <c r="G673" s="20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 spans="1:19" ht="12.75">
      <c r="A674" s="8"/>
      <c r="B674" s="8"/>
      <c r="C674" s="8"/>
      <c r="D674" s="8"/>
      <c r="E674" s="206"/>
      <c r="F674" s="207"/>
      <c r="G674" s="20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 spans="1:19" ht="12.75">
      <c r="A675" s="8"/>
      <c r="B675" s="8"/>
      <c r="C675" s="8"/>
      <c r="D675" s="8"/>
      <c r="E675" s="206"/>
      <c r="F675" s="207"/>
      <c r="G675" s="20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 spans="1:19" ht="12.75">
      <c r="A676" s="8"/>
      <c r="B676" s="8"/>
      <c r="C676" s="8"/>
      <c r="D676" s="8"/>
      <c r="E676" s="206"/>
      <c r="F676" s="207"/>
      <c r="G676" s="20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 spans="1:19" ht="12.75">
      <c r="A677" s="8"/>
      <c r="B677" s="8"/>
      <c r="C677" s="8"/>
      <c r="D677" s="8"/>
      <c r="E677" s="206"/>
      <c r="F677" s="207"/>
      <c r="G677" s="20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 spans="1:19" ht="12.75">
      <c r="A678" s="8"/>
      <c r="B678" s="8"/>
      <c r="C678" s="8"/>
      <c r="D678" s="8"/>
      <c r="E678" s="206"/>
      <c r="F678" s="207"/>
      <c r="G678" s="20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 spans="1:19" ht="12.75">
      <c r="A679" s="8"/>
      <c r="B679" s="8"/>
      <c r="C679" s="8"/>
      <c r="D679" s="8"/>
      <c r="E679" s="206"/>
      <c r="F679" s="207"/>
      <c r="G679" s="20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 spans="1:19" ht="12.75">
      <c r="A680" s="8"/>
      <c r="B680" s="8"/>
      <c r="C680" s="8"/>
      <c r="D680" s="8"/>
      <c r="E680" s="206"/>
      <c r="F680" s="207"/>
      <c r="G680" s="20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 spans="1:19" ht="12.75">
      <c r="A681" s="8"/>
      <c r="B681" s="8"/>
      <c r="C681" s="8"/>
      <c r="D681" s="8"/>
      <c r="E681" s="206"/>
      <c r="F681" s="207"/>
      <c r="G681" s="20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 spans="1:19" ht="12.75">
      <c r="A682" s="8"/>
      <c r="B682" s="8"/>
      <c r="C682" s="8"/>
      <c r="D682" s="8"/>
      <c r="E682" s="206"/>
      <c r="F682" s="207"/>
      <c r="G682" s="20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 spans="1:19" ht="12.75">
      <c r="A683" s="8"/>
      <c r="B683" s="8"/>
      <c r="C683" s="8"/>
      <c r="D683" s="8"/>
      <c r="E683" s="206"/>
      <c r="F683" s="207"/>
      <c r="G683" s="20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 spans="1:19" ht="12.75">
      <c r="A684" s="8"/>
      <c r="B684" s="8"/>
      <c r="C684" s="8"/>
      <c r="D684" s="8"/>
      <c r="E684" s="206"/>
      <c r="F684" s="207"/>
      <c r="G684" s="20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 spans="1:19" ht="12.75">
      <c r="A685" s="8"/>
      <c r="B685" s="8"/>
      <c r="C685" s="8"/>
      <c r="D685" s="8"/>
      <c r="E685" s="206"/>
      <c r="F685" s="207"/>
      <c r="G685" s="20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 spans="1:19" ht="12.75">
      <c r="A686" s="8"/>
      <c r="B686" s="8"/>
      <c r="C686" s="8"/>
      <c r="D686" s="8"/>
      <c r="E686" s="206"/>
      <c r="F686" s="207"/>
      <c r="G686" s="20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 spans="1:19" ht="12.75">
      <c r="A687" s="8"/>
      <c r="B687" s="8"/>
      <c r="C687" s="8"/>
      <c r="D687" s="8"/>
      <c r="E687" s="206"/>
      <c r="F687" s="207"/>
      <c r="G687" s="20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 spans="1:19" ht="12.75">
      <c r="A688" s="8"/>
      <c r="B688" s="8"/>
      <c r="C688" s="8"/>
      <c r="D688" s="8"/>
      <c r="E688" s="206"/>
      <c r="F688" s="207"/>
      <c r="G688" s="20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 spans="1:19" ht="12.75">
      <c r="A689" s="8"/>
      <c r="B689" s="8"/>
      <c r="C689" s="8"/>
      <c r="D689" s="8"/>
      <c r="E689" s="206"/>
      <c r="F689" s="207"/>
      <c r="G689" s="20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 spans="1:19" ht="12.75">
      <c r="A690" s="8"/>
      <c r="B690" s="8"/>
      <c r="C690" s="8"/>
      <c r="D690" s="8"/>
      <c r="E690" s="206"/>
      <c r="F690" s="207"/>
      <c r="G690" s="20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 spans="1:19" ht="12.75">
      <c r="A691" s="8"/>
      <c r="B691" s="8"/>
      <c r="C691" s="8"/>
      <c r="D691" s="8"/>
      <c r="E691" s="206"/>
      <c r="F691" s="207"/>
      <c r="G691" s="20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 spans="1:19" ht="12.75">
      <c r="A692" s="8"/>
      <c r="B692" s="8"/>
      <c r="C692" s="8"/>
      <c r="D692" s="8"/>
      <c r="E692" s="206"/>
      <c r="F692" s="207"/>
      <c r="G692" s="20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 spans="1:19" ht="12.75">
      <c r="A693" s="8"/>
      <c r="B693" s="8"/>
      <c r="C693" s="8"/>
      <c r="D693" s="8"/>
      <c r="E693" s="206"/>
      <c r="F693" s="207"/>
      <c r="G693" s="20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 spans="1:19" ht="12.75">
      <c r="A694" s="8"/>
      <c r="B694" s="8"/>
      <c r="C694" s="8"/>
      <c r="D694" s="8"/>
      <c r="E694" s="206"/>
      <c r="F694" s="207"/>
      <c r="G694" s="20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 spans="1:19" ht="12.75">
      <c r="A695" s="8"/>
      <c r="B695" s="8"/>
      <c r="C695" s="8"/>
      <c r="D695" s="8"/>
      <c r="E695" s="206"/>
      <c r="F695" s="207"/>
      <c r="G695" s="20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 spans="1:19" ht="12.75">
      <c r="A696" s="8"/>
      <c r="B696" s="8"/>
      <c r="C696" s="8"/>
      <c r="D696" s="8"/>
      <c r="E696" s="206"/>
      <c r="F696" s="207"/>
      <c r="G696" s="20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 spans="1:19" ht="12.75">
      <c r="A697" s="8"/>
      <c r="B697" s="8"/>
      <c r="C697" s="8"/>
      <c r="D697" s="8"/>
      <c r="E697" s="206"/>
      <c r="F697" s="207"/>
      <c r="G697" s="20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 spans="1:19" ht="12.75">
      <c r="A698" s="8"/>
      <c r="B698" s="8"/>
      <c r="C698" s="8"/>
      <c r="D698" s="8"/>
      <c r="E698" s="206"/>
      <c r="F698" s="207"/>
      <c r="G698" s="20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 spans="1:19" ht="12.75">
      <c r="A699" s="8"/>
      <c r="B699" s="8"/>
      <c r="C699" s="8"/>
      <c r="D699" s="8"/>
      <c r="E699" s="206"/>
      <c r="F699" s="207"/>
      <c r="G699" s="20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 spans="1:19" ht="12.75">
      <c r="A700" s="8"/>
      <c r="B700" s="8"/>
      <c r="C700" s="8"/>
      <c r="D700" s="8"/>
      <c r="E700" s="206"/>
      <c r="F700" s="207"/>
      <c r="G700" s="20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 spans="1:19" ht="12.75">
      <c r="A701" s="8"/>
      <c r="B701" s="8"/>
      <c r="C701" s="8"/>
      <c r="D701" s="8"/>
      <c r="E701" s="206"/>
      <c r="F701" s="207"/>
      <c r="G701" s="20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 spans="1:19" ht="12.75">
      <c r="A702" s="8"/>
      <c r="B702" s="8"/>
      <c r="C702" s="8"/>
      <c r="D702" s="8"/>
      <c r="E702" s="206"/>
      <c r="F702" s="207"/>
      <c r="G702" s="20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 spans="1:19" ht="12.75">
      <c r="A703" s="8"/>
      <c r="B703" s="8"/>
      <c r="C703" s="8"/>
      <c r="D703" s="8"/>
      <c r="E703" s="206"/>
      <c r="F703" s="207"/>
      <c r="G703" s="20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 spans="1:19" ht="12.75">
      <c r="A704" s="8"/>
      <c r="B704" s="8"/>
      <c r="C704" s="8"/>
      <c r="D704" s="8"/>
      <c r="E704" s="206"/>
      <c r="F704" s="207"/>
      <c r="G704" s="20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 spans="1:19" ht="12.75">
      <c r="A705" s="8"/>
      <c r="B705" s="8"/>
      <c r="C705" s="8"/>
      <c r="D705" s="8"/>
      <c r="E705" s="206"/>
      <c r="F705" s="207"/>
      <c r="G705" s="20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 spans="1:19" ht="12.75">
      <c r="A706" s="8"/>
      <c r="B706" s="8"/>
      <c r="C706" s="8"/>
      <c r="D706" s="8"/>
      <c r="E706" s="206"/>
      <c r="F706" s="207"/>
      <c r="G706" s="20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 spans="1:19" ht="12.75">
      <c r="A707" s="8"/>
      <c r="B707" s="8"/>
      <c r="C707" s="8"/>
      <c r="D707" s="8"/>
      <c r="E707" s="206"/>
      <c r="F707" s="207"/>
      <c r="G707" s="20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 spans="1:19" ht="12.75">
      <c r="A708" s="8"/>
      <c r="B708" s="8"/>
      <c r="C708" s="8"/>
      <c r="D708" s="8"/>
      <c r="E708" s="206"/>
      <c r="F708" s="207"/>
      <c r="G708" s="20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 spans="1:19" ht="12.75">
      <c r="A709" s="8"/>
      <c r="B709" s="8"/>
      <c r="C709" s="8"/>
      <c r="D709" s="8"/>
      <c r="E709" s="206"/>
      <c r="F709" s="207"/>
      <c r="G709" s="20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 spans="1:19" ht="12.75">
      <c r="A710" s="8"/>
      <c r="B710" s="8"/>
      <c r="C710" s="8"/>
      <c r="D710" s="8"/>
      <c r="E710" s="206"/>
      <c r="F710" s="207"/>
      <c r="G710" s="20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 spans="1:19" ht="12.75">
      <c r="A711" s="8"/>
      <c r="B711" s="8"/>
      <c r="C711" s="8"/>
      <c r="D711" s="8"/>
      <c r="E711" s="206"/>
      <c r="F711" s="207"/>
      <c r="G711" s="20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 spans="1:19" ht="12.75">
      <c r="A712" s="8"/>
      <c r="B712" s="8"/>
      <c r="C712" s="8"/>
      <c r="D712" s="8"/>
      <c r="E712" s="206"/>
      <c r="F712" s="207"/>
      <c r="G712" s="20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 spans="1:19" ht="12.75">
      <c r="A713" s="8"/>
      <c r="B713" s="8"/>
      <c r="C713" s="8"/>
      <c r="D713" s="8"/>
      <c r="E713" s="206"/>
      <c r="F713" s="207"/>
      <c r="G713" s="20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spans="1:19" ht="12.75">
      <c r="A714" s="8"/>
      <c r="B714" s="8"/>
      <c r="C714" s="8"/>
      <c r="D714" s="8"/>
      <c r="E714" s="206"/>
      <c r="F714" s="207"/>
      <c r="G714" s="20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 spans="1:19" ht="12.75">
      <c r="A715" s="8"/>
      <c r="B715" s="8"/>
      <c r="C715" s="8"/>
      <c r="D715" s="8"/>
      <c r="E715" s="206"/>
      <c r="F715" s="207"/>
      <c r="G715" s="20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 spans="1:19" ht="12.75">
      <c r="A716" s="8"/>
      <c r="B716" s="8"/>
      <c r="C716" s="8"/>
      <c r="D716" s="8"/>
      <c r="E716" s="206"/>
      <c r="F716" s="207"/>
      <c r="G716" s="20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 spans="1:19" ht="12.75">
      <c r="A717" s="8"/>
      <c r="B717" s="8"/>
      <c r="C717" s="8"/>
      <c r="D717" s="8"/>
      <c r="E717" s="206"/>
      <c r="F717" s="207"/>
      <c r="G717" s="20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 spans="1:19" ht="12.75">
      <c r="A718" s="8"/>
      <c r="B718" s="8"/>
      <c r="C718" s="8"/>
      <c r="D718" s="8"/>
      <c r="E718" s="206"/>
      <c r="F718" s="207"/>
      <c r="G718" s="20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 spans="1:19" ht="12.75">
      <c r="A719" s="8"/>
      <c r="B719" s="8"/>
      <c r="C719" s="8"/>
      <c r="D719" s="8"/>
      <c r="E719" s="206"/>
      <c r="F719" s="207"/>
      <c r="G719" s="20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 spans="1:19" ht="12.75">
      <c r="A720" s="8"/>
      <c r="B720" s="8"/>
      <c r="C720" s="8"/>
      <c r="D720" s="8"/>
      <c r="E720" s="206"/>
      <c r="F720" s="207"/>
      <c r="G720" s="20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 spans="1:19" ht="12.75">
      <c r="A721" s="8"/>
      <c r="B721" s="8"/>
      <c r="C721" s="8"/>
      <c r="D721" s="8"/>
      <c r="E721" s="206"/>
      <c r="F721" s="207"/>
      <c r="G721" s="20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 spans="1:19" ht="12.75">
      <c r="A722" s="8"/>
      <c r="B722" s="8"/>
      <c r="C722" s="8"/>
      <c r="D722" s="8"/>
      <c r="E722" s="206"/>
      <c r="F722" s="207"/>
      <c r="G722" s="20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 spans="1:19" ht="12.75">
      <c r="A723" s="8"/>
      <c r="B723" s="8"/>
      <c r="C723" s="8"/>
      <c r="D723" s="8"/>
      <c r="E723" s="206"/>
      <c r="F723" s="207"/>
      <c r="G723" s="20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 spans="1:19" ht="12.75">
      <c r="A724" s="8"/>
      <c r="B724" s="8"/>
      <c r="C724" s="8"/>
      <c r="D724" s="8"/>
      <c r="E724" s="206"/>
      <c r="F724" s="207"/>
      <c r="G724" s="20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 spans="1:19" ht="12.75">
      <c r="A725" s="8"/>
      <c r="B725" s="8"/>
      <c r="C725" s="8"/>
      <c r="D725" s="8"/>
      <c r="E725" s="206"/>
      <c r="F725" s="207"/>
      <c r="G725" s="20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 spans="1:19" ht="12.75">
      <c r="A726" s="8"/>
      <c r="B726" s="8"/>
      <c r="C726" s="8"/>
      <c r="D726" s="8"/>
      <c r="E726" s="206"/>
      <c r="F726" s="207"/>
      <c r="G726" s="20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 spans="1:19" ht="12.75">
      <c r="A727" s="8"/>
      <c r="B727" s="8"/>
      <c r="C727" s="8"/>
      <c r="D727" s="8"/>
      <c r="E727" s="206"/>
      <c r="F727" s="207"/>
      <c r="G727" s="20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 spans="1:19" ht="12.75">
      <c r="A728" s="8"/>
      <c r="B728" s="8"/>
      <c r="C728" s="8"/>
      <c r="D728" s="8"/>
      <c r="E728" s="206"/>
      <c r="F728" s="207"/>
      <c r="G728" s="20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 spans="1:19" ht="12.75">
      <c r="A729" s="8"/>
      <c r="B729" s="8"/>
      <c r="C729" s="8"/>
      <c r="D729" s="8"/>
      <c r="E729" s="206"/>
      <c r="F729" s="207"/>
      <c r="G729" s="20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 spans="1:19" ht="12.75">
      <c r="A730" s="8"/>
      <c r="B730" s="8"/>
      <c r="C730" s="8"/>
      <c r="D730" s="8"/>
      <c r="E730" s="206"/>
      <c r="F730" s="207"/>
      <c r="G730" s="20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 spans="1:19" ht="12.75">
      <c r="A731" s="8"/>
      <c r="B731" s="8"/>
      <c r="C731" s="8"/>
      <c r="D731" s="8"/>
      <c r="E731" s="206"/>
      <c r="F731" s="207"/>
      <c r="G731" s="20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 spans="1:19" ht="12.75">
      <c r="A732" s="8"/>
      <c r="B732" s="8"/>
      <c r="C732" s="8"/>
      <c r="D732" s="8"/>
      <c r="E732" s="206"/>
      <c r="F732" s="207"/>
      <c r="G732" s="20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 spans="1:19" ht="12.75">
      <c r="A733" s="8"/>
      <c r="B733" s="8"/>
      <c r="C733" s="8"/>
      <c r="D733" s="8"/>
      <c r="E733" s="206"/>
      <c r="F733" s="207"/>
      <c r="G733" s="20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 spans="1:19" ht="12.75">
      <c r="A734" s="8"/>
      <c r="B734" s="8"/>
      <c r="C734" s="8"/>
      <c r="D734" s="8"/>
      <c r="E734" s="206"/>
      <c r="F734" s="207"/>
      <c r="G734" s="20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 spans="1:19" ht="12.75">
      <c r="A735" s="8"/>
      <c r="B735" s="8"/>
      <c r="C735" s="8"/>
      <c r="D735" s="8"/>
      <c r="E735" s="206"/>
      <c r="F735" s="207"/>
      <c r="G735" s="20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 spans="1:19" ht="12.75">
      <c r="A736" s="8"/>
      <c r="B736" s="8"/>
      <c r="C736" s="8"/>
      <c r="D736" s="8"/>
      <c r="E736" s="206"/>
      <c r="F736" s="207"/>
      <c r="G736" s="20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 spans="1:19" ht="12.75">
      <c r="A737" s="8"/>
      <c r="B737" s="8"/>
      <c r="C737" s="8"/>
      <c r="D737" s="8"/>
      <c r="E737" s="206"/>
      <c r="F737" s="207"/>
      <c r="G737" s="207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 spans="1:19" ht="12.75">
      <c r="A738" s="8"/>
      <c r="B738" s="8"/>
      <c r="C738" s="8"/>
      <c r="D738" s="8"/>
      <c r="E738" s="206"/>
      <c r="F738" s="207"/>
      <c r="G738" s="207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 spans="1:19" ht="12.75">
      <c r="A739" s="8"/>
      <c r="B739" s="8"/>
      <c r="C739" s="8"/>
      <c r="D739" s="8"/>
      <c r="E739" s="206"/>
      <c r="F739" s="207"/>
      <c r="G739" s="20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 spans="1:19" ht="12.75">
      <c r="A740" s="8"/>
      <c r="B740" s="8"/>
      <c r="C740" s="8"/>
      <c r="D740" s="8"/>
      <c r="E740" s="206"/>
      <c r="F740" s="207"/>
      <c r="G740" s="20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 spans="1:19" ht="12.75">
      <c r="A741" s="8"/>
      <c r="B741" s="8"/>
      <c r="C741" s="8"/>
      <c r="D741" s="8"/>
      <c r="E741" s="206"/>
      <c r="F741" s="207"/>
      <c r="G741" s="20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 spans="1:19" ht="12.75">
      <c r="A742" s="8"/>
      <c r="B742" s="8"/>
      <c r="C742" s="8"/>
      <c r="D742" s="8"/>
      <c r="E742" s="206"/>
      <c r="F742" s="207"/>
      <c r="G742" s="207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 spans="1:19" ht="12.75">
      <c r="A743" s="8"/>
      <c r="B743" s="8"/>
      <c r="C743" s="8"/>
      <c r="D743" s="8"/>
      <c r="E743" s="206"/>
      <c r="F743" s="207"/>
      <c r="G743" s="20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 spans="1:19" ht="12.75">
      <c r="A744" s="8"/>
      <c r="B744" s="8"/>
      <c r="C744" s="8"/>
      <c r="D744" s="8"/>
      <c r="E744" s="206"/>
      <c r="F744" s="207"/>
      <c r="G744" s="20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 spans="1:19" ht="12.75">
      <c r="A745" s="8"/>
      <c r="B745" s="8"/>
      <c r="C745" s="8"/>
      <c r="D745" s="8"/>
      <c r="E745" s="206"/>
      <c r="F745" s="207"/>
      <c r="G745" s="20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 spans="1:19" ht="12.75">
      <c r="A746" s="8"/>
      <c r="B746" s="8"/>
      <c r="C746" s="8"/>
      <c r="D746" s="8"/>
      <c r="E746" s="206"/>
      <c r="F746" s="207"/>
      <c r="G746" s="207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 spans="1:19" ht="12.75">
      <c r="A747" s="8"/>
      <c r="B747" s="8"/>
      <c r="C747" s="8"/>
      <c r="D747" s="8"/>
      <c r="E747" s="206"/>
      <c r="F747" s="207"/>
      <c r="G747" s="207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 spans="1:19" ht="12.75">
      <c r="A748" s="8"/>
      <c r="B748" s="8"/>
      <c r="C748" s="8"/>
      <c r="D748" s="8"/>
      <c r="E748" s="206"/>
      <c r="F748" s="207"/>
      <c r="G748" s="20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 spans="1:19" ht="12.75">
      <c r="A749" s="8"/>
      <c r="B749" s="8"/>
      <c r="C749" s="8"/>
      <c r="D749" s="8"/>
      <c r="E749" s="206"/>
      <c r="F749" s="207"/>
      <c r="G749" s="207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 spans="1:19" ht="12.75">
      <c r="A750" s="8"/>
      <c r="B750" s="8"/>
      <c r="C750" s="8"/>
      <c r="D750" s="8"/>
      <c r="E750" s="206"/>
      <c r="F750" s="207"/>
      <c r="G750" s="207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 spans="1:19" ht="12.75">
      <c r="A751" s="8"/>
      <c r="B751" s="8"/>
      <c r="C751" s="8"/>
      <c r="D751" s="8"/>
      <c r="E751" s="206"/>
      <c r="F751" s="207"/>
      <c r="G751" s="207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 spans="1:19" ht="12.75">
      <c r="A752" s="8"/>
      <c r="B752" s="8"/>
      <c r="C752" s="8"/>
      <c r="D752" s="8"/>
      <c r="E752" s="206"/>
      <c r="F752" s="207"/>
      <c r="G752" s="207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 spans="1:19" ht="12.75">
      <c r="A753" s="8"/>
      <c r="B753" s="8"/>
      <c r="C753" s="8"/>
      <c r="D753" s="8"/>
      <c r="E753" s="206"/>
      <c r="F753" s="207"/>
      <c r="G753" s="207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 spans="1:19" ht="12.75">
      <c r="A754" s="8"/>
      <c r="B754" s="8"/>
      <c r="C754" s="8"/>
      <c r="D754" s="8"/>
      <c r="E754" s="206"/>
      <c r="F754" s="207"/>
      <c r="G754" s="207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 spans="1:19" ht="12.75">
      <c r="A755" s="8"/>
      <c r="B755" s="8"/>
      <c r="C755" s="8"/>
      <c r="D755" s="8"/>
      <c r="E755" s="206"/>
      <c r="F755" s="207"/>
      <c r="G755" s="207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 spans="1:19" ht="12.75">
      <c r="A756" s="8"/>
      <c r="B756" s="8"/>
      <c r="C756" s="8"/>
      <c r="D756" s="8"/>
      <c r="E756" s="206"/>
      <c r="F756" s="207"/>
      <c r="G756" s="207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 spans="1:19" ht="12.75">
      <c r="A757" s="8"/>
      <c r="B757" s="8"/>
      <c r="C757" s="8"/>
      <c r="D757" s="8"/>
      <c r="E757" s="206"/>
      <c r="F757" s="207"/>
      <c r="G757" s="207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 spans="1:19" ht="12.75">
      <c r="A758" s="8"/>
      <c r="B758" s="8"/>
      <c r="C758" s="8"/>
      <c r="D758" s="8"/>
      <c r="E758" s="206"/>
      <c r="F758" s="207"/>
      <c r="G758" s="20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 spans="1:19" ht="12.75">
      <c r="A759" s="8"/>
      <c r="B759" s="8"/>
      <c r="C759" s="8"/>
      <c r="D759" s="8"/>
      <c r="E759" s="206"/>
      <c r="F759" s="207"/>
      <c r="G759" s="20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 spans="1:19" ht="12.75">
      <c r="A760" s="8"/>
      <c r="B760" s="8"/>
      <c r="C760" s="8"/>
      <c r="D760" s="8"/>
      <c r="E760" s="206"/>
      <c r="F760" s="207"/>
      <c r="G760" s="20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 spans="1:19" ht="12.75">
      <c r="A761" s="8"/>
      <c r="B761" s="8"/>
      <c r="C761" s="8"/>
      <c r="D761" s="8"/>
      <c r="E761" s="206"/>
      <c r="F761" s="207"/>
      <c r="G761" s="20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 spans="1:19" ht="12.75">
      <c r="A762" s="8"/>
      <c r="B762" s="8"/>
      <c r="C762" s="8"/>
      <c r="D762" s="8"/>
      <c r="E762" s="206"/>
      <c r="F762" s="207"/>
      <c r="G762" s="20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 spans="1:19" ht="12.75">
      <c r="A763" s="8"/>
      <c r="B763" s="8"/>
      <c r="C763" s="8"/>
      <c r="D763" s="8"/>
      <c r="E763" s="206"/>
      <c r="F763" s="207"/>
      <c r="G763" s="20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 spans="1:19" ht="12.75">
      <c r="A764" s="8"/>
      <c r="B764" s="8"/>
      <c r="C764" s="8"/>
      <c r="D764" s="8"/>
      <c r="E764" s="206"/>
      <c r="F764" s="207"/>
      <c r="G764" s="20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 spans="1:19" ht="12.75">
      <c r="A765" s="8"/>
      <c r="B765" s="8"/>
      <c r="C765" s="8"/>
      <c r="D765" s="8"/>
      <c r="E765" s="206"/>
      <c r="F765" s="207"/>
      <c r="G765" s="20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 spans="1:19" ht="12.75">
      <c r="A766" s="8"/>
      <c r="B766" s="8"/>
      <c r="C766" s="8"/>
      <c r="D766" s="8"/>
      <c r="E766" s="206"/>
      <c r="F766" s="207"/>
      <c r="G766" s="20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 spans="1:19" ht="12.75">
      <c r="A767" s="8"/>
      <c r="B767" s="8"/>
      <c r="C767" s="8"/>
      <c r="D767" s="8"/>
      <c r="E767" s="206"/>
      <c r="F767" s="207"/>
      <c r="G767" s="20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 spans="1:19" ht="12.75">
      <c r="A768" s="8"/>
      <c r="B768" s="8"/>
      <c r="C768" s="8"/>
      <c r="D768" s="8"/>
      <c r="E768" s="206"/>
      <c r="F768" s="207"/>
      <c r="G768" s="20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 spans="1:19" ht="12.75">
      <c r="A769" s="8"/>
      <c r="B769" s="8"/>
      <c r="C769" s="8"/>
      <c r="D769" s="8"/>
      <c r="E769" s="206"/>
      <c r="F769" s="207"/>
      <c r="G769" s="20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 spans="1:19" ht="12.75">
      <c r="A770" s="8"/>
      <c r="B770" s="8"/>
      <c r="C770" s="8"/>
      <c r="D770" s="8"/>
      <c r="E770" s="206"/>
      <c r="F770" s="207"/>
      <c r="G770" s="20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 spans="1:19" ht="12.75">
      <c r="A771" s="8"/>
      <c r="B771" s="8"/>
      <c r="C771" s="8"/>
      <c r="D771" s="8"/>
      <c r="E771" s="206"/>
      <c r="F771" s="207"/>
      <c r="G771" s="20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 spans="1:19" ht="12.75">
      <c r="A772" s="8"/>
      <c r="B772" s="8"/>
      <c r="C772" s="8"/>
      <c r="D772" s="8"/>
      <c r="E772" s="206"/>
      <c r="F772" s="207"/>
      <c r="G772" s="20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 spans="1:19" ht="12.75">
      <c r="A773" s="8"/>
      <c r="B773" s="8"/>
      <c r="C773" s="8"/>
      <c r="D773" s="8"/>
      <c r="E773" s="206"/>
      <c r="F773" s="207"/>
      <c r="G773" s="20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 spans="1:19" ht="12.75">
      <c r="A774" s="8"/>
      <c r="B774" s="8"/>
      <c r="C774" s="8"/>
      <c r="D774" s="8"/>
      <c r="E774" s="206"/>
      <c r="F774" s="207"/>
      <c r="G774" s="20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 spans="1:19" ht="12.75">
      <c r="A775" s="8"/>
      <c r="B775" s="8"/>
      <c r="C775" s="8"/>
      <c r="D775" s="8"/>
      <c r="E775" s="206"/>
      <c r="F775" s="207"/>
      <c r="G775" s="20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 spans="1:19" ht="12.75">
      <c r="A776" s="8"/>
      <c r="B776" s="8"/>
      <c r="C776" s="8"/>
      <c r="D776" s="8"/>
      <c r="E776" s="206"/>
      <c r="F776" s="207"/>
      <c r="G776" s="20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 spans="1:19" ht="12.75">
      <c r="A777" s="8"/>
      <c r="B777" s="8"/>
      <c r="C777" s="8"/>
      <c r="D777" s="8"/>
      <c r="E777" s="206"/>
      <c r="F777" s="207"/>
      <c r="G777" s="20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 spans="1:19" ht="12.75">
      <c r="A778" s="8"/>
      <c r="B778" s="8"/>
      <c r="C778" s="8"/>
      <c r="D778" s="8"/>
      <c r="E778" s="206"/>
      <c r="F778" s="207"/>
      <c r="G778" s="20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 spans="1:19" ht="12.75">
      <c r="A779" s="8"/>
      <c r="B779" s="8"/>
      <c r="C779" s="8"/>
      <c r="D779" s="8"/>
      <c r="E779" s="206"/>
      <c r="F779" s="207"/>
      <c r="G779" s="20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 spans="1:19" ht="12.75">
      <c r="A780" s="8"/>
      <c r="B780" s="8"/>
      <c r="C780" s="8"/>
      <c r="D780" s="8"/>
      <c r="E780" s="206"/>
      <c r="F780" s="207"/>
      <c r="G780" s="20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 spans="1:19" ht="12.75">
      <c r="A781" s="8"/>
      <c r="B781" s="8"/>
      <c r="C781" s="8"/>
      <c r="D781" s="8"/>
      <c r="E781" s="206"/>
      <c r="F781" s="207"/>
      <c r="G781" s="20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 spans="1:19" ht="12.75">
      <c r="A782" s="8"/>
      <c r="B782" s="8"/>
      <c r="C782" s="8"/>
      <c r="D782" s="8"/>
      <c r="E782" s="206"/>
      <c r="F782" s="207"/>
      <c r="G782" s="20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 spans="1:19" ht="12.75">
      <c r="A783" s="8"/>
      <c r="B783" s="8"/>
      <c r="C783" s="8"/>
      <c r="D783" s="8"/>
      <c r="E783" s="206"/>
      <c r="F783" s="207"/>
      <c r="G783" s="20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 spans="1:19" ht="12.75">
      <c r="A784" s="8"/>
      <c r="B784" s="8"/>
      <c r="C784" s="8"/>
      <c r="D784" s="8"/>
      <c r="E784" s="206"/>
      <c r="F784" s="207"/>
      <c r="G784" s="20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 spans="1:19" ht="12.75">
      <c r="A785" s="8"/>
      <c r="B785" s="8"/>
      <c r="C785" s="8"/>
      <c r="D785" s="8"/>
      <c r="E785" s="206"/>
      <c r="F785" s="207"/>
      <c r="G785" s="20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 spans="1:19" ht="12.75">
      <c r="A786" s="8"/>
      <c r="B786" s="8"/>
      <c r="C786" s="8"/>
      <c r="D786" s="8"/>
      <c r="E786" s="206"/>
      <c r="F786" s="207"/>
      <c r="G786" s="20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 spans="1:19" ht="12.75">
      <c r="A787" s="8"/>
      <c r="B787" s="8"/>
      <c r="C787" s="8"/>
      <c r="D787" s="8"/>
      <c r="E787" s="206"/>
      <c r="F787" s="207"/>
      <c r="G787" s="20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 spans="1:19" ht="12.75">
      <c r="A788" s="8"/>
      <c r="B788" s="8"/>
      <c r="C788" s="8"/>
      <c r="D788" s="8"/>
      <c r="E788" s="206"/>
      <c r="F788" s="207"/>
      <c r="G788" s="20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 spans="1:19" ht="12.75">
      <c r="A789" s="8"/>
      <c r="B789" s="8"/>
      <c r="C789" s="8"/>
      <c r="D789" s="8"/>
      <c r="E789" s="206"/>
      <c r="F789" s="207"/>
      <c r="G789" s="20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 spans="1:19" ht="12.75">
      <c r="A790" s="8"/>
      <c r="B790" s="8"/>
      <c r="C790" s="8"/>
      <c r="D790" s="8"/>
      <c r="E790" s="206"/>
      <c r="F790" s="207"/>
      <c r="G790" s="20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 spans="1:19" ht="12.75">
      <c r="A791" s="8"/>
      <c r="B791" s="8"/>
      <c r="C791" s="8"/>
      <c r="D791" s="8"/>
      <c r="E791" s="206"/>
      <c r="F791" s="207"/>
      <c r="G791" s="20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 spans="1:19" ht="12.75">
      <c r="A792" s="8"/>
      <c r="B792" s="8"/>
      <c r="C792" s="8"/>
      <c r="D792" s="8"/>
      <c r="E792" s="206"/>
      <c r="F792" s="207"/>
      <c r="G792" s="20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 spans="1:19" ht="12.75">
      <c r="A793" s="8"/>
      <c r="B793" s="8"/>
      <c r="C793" s="8"/>
      <c r="D793" s="8"/>
      <c r="E793" s="206"/>
      <c r="F793" s="207"/>
      <c r="G793" s="20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 spans="1:19" ht="12.75">
      <c r="A794" s="8"/>
      <c r="B794" s="8"/>
      <c r="C794" s="8"/>
      <c r="D794" s="8"/>
      <c r="E794" s="206"/>
      <c r="F794" s="207"/>
      <c r="G794" s="20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 spans="1:19" ht="12.75">
      <c r="A795" s="8"/>
      <c r="B795" s="8"/>
      <c r="C795" s="8"/>
      <c r="D795" s="8"/>
      <c r="E795" s="206"/>
      <c r="F795" s="207"/>
      <c r="G795" s="20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 spans="1:19" ht="12.75">
      <c r="A796" s="8"/>
      <c r="B796" s="8"/>
      <c r="C796" s="8"/>
      <c r="D796" s="8"/>
      <c r="E796" s="206"/>
      <c r="F796" s="207"/>
      <c r="G796" s="20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spans="1:19" ht="12.75">
      <c r="A797" s="8"/>
      <c r="B797" s="8"/>
      <c r="C797" s="8"/>
      <c r="D797" s="8"/>
      <c r="E797" s="206"/>
      <c r="F797" s="207"/>
      <c r="G797" s="20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 spans="1:19" ht="12.75">
      <c r="A798" s="8"/>
      <c r="B798" s="8"/>
      <c r="C798" s="8"/>
      <c r="D798" s="8"/>
      <c r="E798" s="206"/>
      <c r="F798" s="207"/>
      <c r="G798" s="20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 spans="1:19" ht="12.75">
      <c r="A799" s="8"/>
      <c r="B799" s="8"/>
      <c r="C799" s="8"/>
      <c r="D799" s="8"/>
      <c r="E799" s="206"/>
      <c r="F799" s="207"/>
      <c r="G799" s="20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 spans="1:19" ht="12.75">
      <c r="A800" s="8"/>
      <c r="B800" s="8"/>
      <c r="C800" s="8"/>
      <c r="D800" s="8"/>
      <c r="E800" s="206"/>
      <c r="F800" s="207"/>
      <c r="G800" s="20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 spans="1:19" ht="12.75">
      <c r="A801" s="8"/>
      <c r="B801" s="8"/>
      <c r="C801" s="8"/>
      <c r="D801" s="8"/>
      <c r="E801" s="206"/>
      <c r="F801" s="207"/>
      <c r="G801" s="20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 spans="1:19" ht="12.75">
      <c r="A802" s="8"/>
      <c r="B802" s="8"/>
      <c r="C802" s="8"/>
      <c r="D802" s="8"/>
      <c r="E802" s="8"/>
      <c r="F802" s="207"/>
      <c r="G802" s="20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 spans="1:19" ht="12.75">
      <c r="A803" s="8"/>
      <c r="B803" s="8"/>
      <c r="C803" s="8"/>
      <c r="D803" s="8"/>
      <c r="E803" s="8"/>
      <c r="F803" s="207"/>
      <c r="G803" s="20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 spans="1:19" ht="12.75">
      <c r="A804" s="8"/>
      <c r="B804" s="8"/>
      <c r="C804" s="8"/>
      <c r="D804" s="8"/>
      <c r="E804" s="8"/>
      <c r="F804" s="207"/>
      <c r="G804" s="20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 spans="1:19" ht="12.75">
      <c r="A805" s="8"/>
      <c r="B805" s="8"/>
      <c r="C805" s="8"/>
      <c r="D805" s="8"/>
      <c r="E805" s="8"/>
      <c r="F805" s="207"/>
      <c r="G805" s="20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 spans="1:19" ht="12.75">
      <c r="A806" s="8"/>
      <c r="B806" s="8"/>
      <c r="C806" s="8"/>
      <c r="D806" s="8"/>
      <c r="E806" s="8"/>
      <c r="F806" s="207"/>
      <c r="G806" s="20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 spans="1:19" ht="12.75">
      <c r="A807" s="8"/>
      <c r="B807" s="8"/>
      <c r="C807" s="8"/>
      <c r="D807" s="8"/>
      <c r="E807" s="8"/>
      <c r="F807" s="207"/>
      <c r="G807" s="20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</sheetData>
  <autoFilter ref="A1:H79" xr:uid="{00000000-0009-0000-0000-000005000000}"/>
  <phoneticPr fontId="8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DAF8"/>
    <outlinePr summaryBelow="0" summaryRight="0"/>
  </sheetPr>
  <dimension ref="A1:N102"/>
  <sheetViews>
    <sheetView workbookViewId="0"/>
  </sheetViews>
  <sheetFormatPr defaultColWidth="14.42578125" defaultRowHeight="15.75" customHeight="1"/>
  <sheetData>
    <row r="1" spans="1:10" ht="15.75" customHeight="1">
      <c r="A1" s="162"/>
      <c r="B1" s="162"/>
      <c r="C1" s="162"/>
      <c r="D1" s="162"/>
      <c r="E1" s="162"/>
      <c r="F1" s="162"/>
      <c r="G1" s="162"/>
      <c r="H1" s="162"/>
      <c r="I1" s="162"/>
      <c r="J1" s="162"/>
    </row>
    <row r="2" spans="1:10" ht="15.75" customHeight="1">
      <c r="A2" s="162"/>
      <c r="B2" s="165" t="s">
        <v>69</v>
      </c>
      <c r="C2" s="166" t="s">
        <v>45</v>
      </c>
      <c r="D2" s="166" t="s">
        <v>47</v>
      </c>
      <c r="E2" s="166" t="s">
        <v>48</v>
      </c>
      <c r="F2" s="166" t="s">
        <v>52</v>
      </c>
      <c r="G2" s="165" t="s">
        <v>71</v>
      </c>
      <c r="H2" s="168" t="s">
        <v>73</v>
      </c>
      <c r="I2" s="169" t="s">
        <v>74</v>
      </c>
      <c r="J2" s="169" t="s">
        <v>71</v>
      </c>
    </row>
    <row r="3" spans="1:10" ht="15.75" customHeight="1">
      <c r="A3" s="170">
        <v>46266</v>
      </c>
      <c r="B3" s="171" t="s">
        <v>75</v>
      </c>
      <c r="C3" s="173">
        <v>36345</v>
      </c>
      <c r="D3" s="173">
        <v>1164</v>
      </c>
      <c r="E3" s="173">
        <v>1</v>
      </c>
      <c r="F3" s="173">
        <v>390</v>
      </c>
      <c r="G3" s="173">
        <f t="shared" ref="G3:G8" si="0">SUM(C3:F3)</f>
        <v>37900</v>
      </c>
      <c r="H3" s="173">
        <v>733</v>
      </c>
      <c r="I3" s="173">
        <v>542</v>
      </c>
      <c r="J3" s="175">
        <f t="shared" ref="J3:J8" si="1">C3+D3+E3+F3+H3+I3</f>
        <v>39175</v>
      </c>
    </row>
    <row r="4" spans="1:10" ht="15.75" customHeight="1">
      <c r="A4" s="149">
        <v>1976000</v>
      </c>
      <c r="B4" s="171" t="s">
        <v>76</v>
      </c>
      <c r="C4" s="173">
        <v>22846</v>
      </c>
      <c r="D4" s="173">
        <v>2268</v>
      </c>
      <c r="E4" s="173">
        <v>2</v>
      </c>
      <c r="F4" s="173">
        <v>294</v>
      </c>
      <c r="G4" s="173">
        <f t="shared" si="0"/>
        <v>25410</v>
      </c>
      <c r="H4" s="173">
        <v>638</v>
      </c>
      <c r="I4" s="173">
        <v>582</v>
      </c>
      <c r="J4" s="175">
        <f t="shared" si="1"/>
        <v>26630</v>
      </c>
    </row>
    <row r="5" spans="1:10" ht="15.75" customHeight="1">
      <c r="A5" s="149">
        <v>1977000</v>
      </c>
      <c r="B5" s="171" t="s">
        <v>78</v>
      </c>
      <c r="C5" s="173">
        <v>8576</v>
      </c>
      <c r="D5" s="173">
        <v>868</v>
      </c>
      <c r="E5" s="173">
        <v>13</v>
      </c>
      <c r="F5" s="173">
        <v>597</v>
      </c>
      <c r="G5" s="173">
        <f t="shared" si="0"/>
        <v>10054</v>
      </c>
      <c r="H5" s="173">
        <v>668</v>
      </c>
      <c r="I5" s="173">
        <v>584</v>
      </c>
      <c r="J5" s="175">
        <f t="shared" si="1"/>
        <v>11306</v>
      </c>
    </row>
    <row r="6" spans="1:10" ht="15.75" customHeight="1">
      <c r="A6" s="149">
        <v>1978000</v>
      </c>
      <c r="B6" s="171" t="s">
        <v>80</v>
      </c>
      <c r="C6" s="173">
        <v>14363</v>
      </c>
      <c r="D6" s="173">
        <v>1100</v>
      </c>
      <c r="E6" s="173">
        <v>0</v>
      </c>
      <c r="F6" s="173">
        <v>4395</v>
      </c>
      <c r="G6" s="173">
        <f t="shared" si="0"/>
        <v>19858</v>
      </c>
      <c r="H6" s="173">
        <v>632</v>
      </c>
      <c r="I6" s="173">
        <v>589</v>
      </c>
      <c r="J6" s="175">
        <f t="shared" si="1"/>
        <v>21079</v>
      </c>
    </row>
    <row r="7" spans="1:10" ht="15.75" customHeight="1">
      <c r="A7" s="149">
        <v>2352000</v>
      </c>
      <c r="B7" s="171" t="s">
        <v>81</v>
      </c>
      <c r="C7" s="173">
        <v>24973</v>
      </c>
      <c r="D7" s="173">
        <v>1736</v>
      </c>
      <c r="E7" s="173">
        <v>5</v>
      </c>
      <c r="F7" s="173">
        <v>3631</v>
      </c>
      <c r="G7" s="173">
        <f t="shared" si="0"/>
        <v>30345</v>
      </c>
      <c r="H7" s="173">
        <v>707</v>
      </c>
      <c r="I7" s="173">
        <v>646</v>
      </c>
      <c r="J7" s="175">
        <f t="shared" si="1"/>
        <v>31698</v>
      </c>
    </row>
    <row r="8" spans="1:10" ht="15.75" customHeight="1">
      <c r="A8" s="149">
        <v>2353000</v>
      </c>
      <c r="B8" s="171" t="s">
        <v>83</v>
      </c>
      <c r="C8" s="173">
        <v>7563</v>
      </c>
      <c r="D8" s="173">
        <v>1508</v>
      </c>
      <c r="E8" s="173">
        <v>1</v>
      </c>
      <c r="F8" s="173">
        <v>670</v>
      </c>
      <c r="G8" s="173">
        <f t="shared" si="0"/>
        <v>9742</v>
      </c>
      <c r="H8" s="173">
        <v>617</v>
      </c>
      <c r="I8" s="173">
        <v>590</v>
      </c>
      <c r="J8" s="175">
        <f t="shared" si="1"/>
        <v>10949</v>
      </c>
    </row>
    <row r="9" spans="1:10" ht="15.75" customHeight="1">
      <c r="A9" s="149">
        <v>2354000</v>
      </c>
      <c r="B9" s="171" t="s">
        <v>71</v>
      </c>
      <c r="C9" s="177">
        <f t="shared" ref="C9:J9" si="2">SUM(C3:C8)</f>
        <v>114666</v>
      </c>
      <c r="D9" s="177">
        <f t="shared" si="2"/>
        <v>8644</v>
      </c>
      <c r="E9" s="177">
        <f t="shared" si="2"/>
        <v>22</v>
      </c>
      <c r="F9" s="177">
        <f t="shared" si="2"/>
        <v>9977</v>
      </c>
      <c r="G9" s="177">
        <f t="shared" si="2"/>
        <v>133309</v>
      </c>
      <c r="H9" s="177">
        <f t="shared" si="2"/>
        <v>3995</v>
      </c>
      <c r="I9" s="177">
        <f t="shared" si="2"/>
        <v>3533</v>
      </c>
      <c r="J9" s="175">
        <f t="shared" si="2"/>
        <v>140837</v>
      </c>
    </row>
    <row r="10" spans="1:10" ht="15.7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</row>
    <row r="11" spans="1:10" ht="15.75" customHeight="1">
      <c r="A11" s="162"/>
      <c r="B11" s="165" t="s">
        <v>69</v>
      </c>
      <c r="C11" s="166" t="s">
        <v>45</v>
      </c>
      <c r="D11" s="166" t="s">
        <v>46</v>
      </c>
      <c r="E11" s="166" t="s">
        <v>47</v>
      </c>
      <c r="F11" s="166" t="s">
        <v>48</v>
      </c>
      <c r="G11" s="165" t="s">
        <v>71</v>
      </c>
      <c r="H11" s="168" t="s">
        <v>73</v>
      </c>
      <c r="I11" s="169" t="s">
        <v>74</v>
      </c>
      <c r="J11" s="169" t="s">
        <v>71</v>
      </c>
    </row>
    <row r="12" spans="1:10" ht="15.75" customHeight="1">
      <c r="A12" s="170">
        <v>46235</v>
      </c>
      <c r="B12" s="171" t="s">
        <v>75</v>
      </c>
      <c r="C12" s="173">
        <v>44866</v>
      </c>
      <c r="D12" s="173">
        <v>653</v>
      </c>
      <c r="E12" s="173">
        <v>1880</v>
      </c>
      <c r="F12" s="173">
        <v>70</v>
      </c>
      <c r="G12" s="173">
        <f t="shared" ref="G12:G17" si="3">SUM(C12:F12)</f>
        <v>47469</v>
      </c>
      <c r="H12" s="173">
        <v>720</v>
      </c>
      <c r="I12" s="173">
        <v>537</v>
      </c>
      <c r="J12" s="175">
        <f t="shared" ref="J12:J17" si="4">C12+D12+E12+F12+H12+I12</f>
        <v>48726</v>
      </c>
    </row>
    <row r="13" spans="1:10" ht="15.75" customHeight="1">
      <c r="A13" s="149">
        <v>1976000</v>
      </c>
      <c r="B13" s="171" t="s">
        <v>76</v>
      </c>
      <c r="C13" s="173">
        <v>19287</v>
      </c>
      <c r="D13" s="173">
        <v>908</v>
      </c>
      <c r="E13" s="173">
        <v>3032</v>
      </c>
      <c r="F13" s="173">
        <v>299</v>
      </c>
      <c r="G13" s="173">
        <f t="shared" si="3"/>
        <v>23526</v>
      </c>
      <c r="H13" s="173">
        <v>646</v>
      </c>
      <c r="I13" s="173">
        <v>600</v>
      </c>
      <c r="J13" s="175">
        <f t="shared" si="4"/>
        <v>24772</v>
      </c>
    </row>
    <row r="14" spans="1:10" ht="15.75" customHeight="1">
      <c r="A14" s="149">
        <v>1977000</v>
      </c>
      <c r="B14" s="171" t="s">
        <v>78</v>
      </c>
      <c r="C14" s="173">
        <v>3558</v>
      </c>
      <c r="D14" s="173">
        <v>351</v>
      </c>
      <c r="E14" s="173">
        <v>920</v>
      </c>
      <c r="F14" s="173">
        <v>233</v>
      </c>
      <c r="G14" s="173">
        <f t="shared" si="3"/>
        <v>5062</v>
      </c>
      <c r="H14" s="173">
        <v>702</v>
      </c>
      <c r="I14" s="173">
        <v>573</v>
      </c>
      <c r="J14" s="175">
        <f t="shared" si="4"/>
        <v>6337</v>
      </c>
    </row>
    <row r="15" spans="1:10" ht="15.75" customHeight="1">
      <c r="A15" s="149">
        <v>1978000</v>
      </c>
      <c r="B15" s="171" t="s">
        <v>80</v>
      </c>
      <c r="C15" s="173">
        <v>19323</v>
      </c>
      <c r="D15" s="173">
        <v>1085</v>
      </c>
      <c r="E15" s="173">
        <v>2356</v>
      </c>
      <c r="F15" s="173">
        <v>454</v>
      </c>
      <c r="G15" s="173">
        <f t="shared" si="3"/>
        <v>23218</v>
      </c>
      <c r="H15" s="173">
        <v>647</v>
      </c>
      <c r="I15" s="173">
        <v>625</v>
      </c>
      <c r="J15" s="175">
        <f t="shared" si="4"/>
        <v>24490</v>
      </c>
    </row>
    <row r="16" spans="1:10" ht="15.75" customHeight="1">
      <c r="A16" s="149">
        <v>2352000</v>
      </c>
      <c r="B16" s="171" t="s">
        <v>81</v>
      </c>
      <c r="C16" s="173">
        <v>31954</v>
      </c>
      <c r="D16" s="173">
        <v>876</v>
      </c>
      <c r="E16" s="173">
        <v>3772</v>
      </c>
      <c r="F16" s="173">
        <v>831</v>
      </c>
      <c r="G16" s="173">
        <f t="shared" si="3"/>
        <v>37433</v>
      </c>
      <c r="H16" s="173">
        <v>740</v>
      </c>
      <c r="I16" s="173">
        <v>668</v>
      </c>
      <c r="J16" s="175">
        <f t="shared" si="4"/>
        <v>38841</v>
      </c>
    </row>
    <row r="17" spans="1:10" ht="15.75" customHeight="1">
      <c r="A17" s="149">
        <v>2353000</v>
      </c>
      <c r="B17" s="171" t="s">
        <v>83</v>
      </c>
      <c r="C17" s="173">
        <v>8722</v>
      </c>
      <c r="D17" s="173">
        <v>287</v>
      </c>
      <c r="E17" s="173">
        <v>1268</v>
      </c>
      <c r="F17" s="173">
        <v>190</v>
      </c>
      <c r="G17" s="173">
        <f t="shared" si="3"/>
        <v>10467</v>
      </c>
      <c r="H17" s="173">
        <v>641</v>
      </c>
      <c r="I17" s="173">
        <v>603</v>
      </c>
      <c r="J17" s="175">
        <f t="shared" si="4"/>
        <v>11711</v>
      </c>
    </row>
    <row r="18" spans="1:10" ht="15.75" customHeight="1">
      <c r="A18" s="149">
        <v>2354000</v>
      </c>
      <c r="B18" s="171" t="s">
        <v>71</v>
      </c>
      <c r="C18" s="177">
        <f t="shared" ref="C18:J18" si="5">SUM(C12:C17)</f>
        <v>127710</v>
      </c>
      <c r="D18" s="177">
        <f t="shared" si="5"/>
        <v>4160</v>
      </c>
      <c r="E18" s="177">
        <f t="shared" si="5"/>
        <v>13228</v>
      </c>
      <c r="F18" s="177">
        <f t="shared" si="5"/>
        <v>2077</v>
      </c>
      <c r="G18" s="177">
        <f t="shared" si="5"/>
        <v>147175</v>
      </c>
      <c r="H18" s="177">
        <f t="shared" si="5"/>
        <v>4096</v>
      </c>
      <c r="I18" s="177">
        <f t="shared" si="5"/>
        <v>3606</v>
      </c>
      <c r="J18" s="175">
        <f t="shared" si="5"/>
        <v>154877</v>
      </c>
    </row>
    <row r="19" spans="1:10" ht="15.75" customHeight="1">
      <c r="A19" s="162"/>
      <c r="B19" s="162"/>
      <c r="C19" s="162"/>
      <c r="D19" s="162"/>
      <c r="E19" s="162"/>
      <c r="F19" s="162"/>
      <c r="G19" s="162"/>
      <c r="H19" s="162"/>
      <c r="I19" s="162"/>
      <c r="J19" s="162"/>
    </row>
    <row r="20" spans="1:10" ht="15.75" customHeight="1">
      <c r="A20" s="162"/>
      <c r="B20" s="165" t="s">
        <v>69</v>
      </c>
      <c r="C20" s="166" t="s">
        <v>45</v>
      </c>
      <c r="D20" s="166" t="s">
        <v>46</v>
      </c>
      <c r="E20" s="166" t="s">
        <v>47</v>
      </c>
      <c r="F20" s="166" t="s">
        <v>48</v>
      </c>
      <c r="G20" s="165" t="s">
        <v>71</v>
      </c>
      <c r="H20" s="168" t="s">
        <v>73</v>
      </c>
      <c r="I20" s="169" t="s">
        <v>74</v>
      </c>
      <c r="J20" s="169" t="s">
        <v>71</v>
      </c>
    </row>
    <row r="21" spans="1:10" ht="15.75" customHeight="1">
      <c r="A21" s="170">
        <v>46204</v>
      </c>
      <c r="B21" s="171" t="s">
        <v>75</v>
      </c>
      <c r="C21" s="173">
        <v>39082</v>
      </c>
      <c r="D21" s="173">
        <v>454</v>
      </c>
      <c r="E21" s="173">
        <v>2456</v>
      </c>
      <c r="F21" s="173">
        <v>450</v>
      </c>
      <c r="G21" s="173">
        <f t="shared" ref="G21:G26" si="6">SUM(C21:F21)</f>
        <v>42442</v>
      </c>
      <c r="H21" s="173">
        <v>726</v>
      </c>
      <c r="I21" s="173">
        <v>540</v>
      </c>
      <c r="J21" s="175">
        <f t="shared" ref="J21:J26" si="7">C21+D21+E21+F21+H21+I21</f>
        <v>43708</v>
      </c>
    </row>
    <row r="22" spans="1:10" ht="15.75" customHeight="1">
      <c r="A22" s="149">
        <v>1976000</v>
      </c>
      <c r="B22" s="171" t="s">
        <v>76</v>
      </c>
      <c r="C22" s="173">
        <v>6777</v>
      </c>
      <c r="D22" s="173">
        <v>199</v>
      </c>
      <c r="E22" s="173">
        <v>3176</v>
      </c>
      <c r="F22" s="173">
        <v>477</v>
      </c>
      <c r="G22" s="173">
        <f t="shared" si="6"/>
        <v>10629</v>
      </c>
      <c r="H22" s="173">
        <v>626</v>
      </c>
      <c r="I22" s="173">
        <v>612</v>
      </c>
      <c r="J22" s="175">
        <f t="shared" si="7"/>
        <v>11867</v>
      </c>
    </row>
    <row r="23" spans="1:10" ht="15.75" customHeight="1">
      <c r="A23" s="149">
        <v>1977000</v>
      </c>
      <c r="B23" s="171" t="s">
        <v>78</v>
      </c>
      <c r="C23" s="173">
        <v>3831</v>
      </c>
      <c r="D23" s="173">
        <v>272</v>
      </c>
      <c r="E23" s="173">
        <v>1216</v>
      </c>
      <c r="F23" s="173">
        <v>309</v>
      </c>
      <c r="G23" s="173">
        <f t="shared" si="6"/>
        <v>5628</v>
      </c>
      <c r="H23" s="173">
        <v>662</v>
      </c>
      <c r="I23" s="173">
        <v>549</v>
      </c>
      <c r="J23" s="175">
        <f t="shared" si="7"/>
        <v>6839</v>
      </c>
    </row>
    <row r="24" spans="1:10" ht="15.75" customHeight="1">
      <c r="A24" s="149">
        <v>1978000</v>
      </c>
      <c r="B24" s="171" t="s">
        <v>80</v>
      </c>
      <c r="C24" s="173">
        <v>31527</v>
      </c>
      <c r="D24" s="173">
        <v>3275</v>
      </c>
      <c r="E24" s="173">
        <v>2932</v>
      </c>
      <c r="F24" s="173">
        <v>748</v>
      </c>
      <c r="G24" s="173">
        <f t="shared" si="6"/>
        <v>38482</v>
      </c>
      <c r="H24" s="173">
        <v>567</v>
      </c>
      <c r="I24" s="173">
        <v>632</v>
      </c>
      <c r="J24" s="175">
        <f t="shared" si="7"/>
        <v>39681</v>
      </c>
    </row>
    <row r="25" spans="1:10" ht="15.75" customHeight="1">
      <c r="A25" s="149">
        <v>2352000</v>
      </c>
      <c r="B25" s="171" t="s">
        <v>81</v>
      </c>
      <c r="C25" s="173">
        <v>462</v>
      </c>
      <c r="D25" s="173">
        <v>995</v>
      </c>
      <c r="E25" s="173">
        <v>4412</v>
      </c>
      <c r="F25" s="173">
        <v>800</v>
      </c>
      <c r="G25" s="173">
        <f t="shared" si="6"/>
        <v>6669</v>
      </c>
      <c r="H25" s="173">
        <v>560</v>
      </c>
      <c r="I25" s="173">
        <v>651</v>
      </c>
      <c r="J25" s="175">
        <f t="shared" si="7"/>
        <v>7880</v>
      </c>
    </row>
    <row r="26" spans="1:10" ht="15.75" customHeight="1">
      <c r="A26" s="149">
        <v>2353000</v>
      </c>
      <c r="B26" s="171" t="s">
        <v>83</v>
      </c>
      <c r="C26" s="173">
        <v>6305</v>
      </c>
      <c r="D26" s="173">
        <v>339</v>
      </c>
      <c r="E26" s="173">
        <v>2060</v>
      </c>
      <c r="F26" s="173">
        <v>93</v>
      </c>
      <c r="G26" s="173">
        <f t="shared" si="6"/>
        <v>8797</v>
      </c>
      <c r="H26" s="173">
        <v>559</v>
      </c>
      <c r="I26" s="173">
        <v>585</v>
      </c>
      <c r="J26" s="175">
        <f t="shared" si="7"/>
        <v>9941</v>
      </c>
    </row>
    <row r="27" spans="1:10" ht="15.75" customHeight="1">
      <c r="A27" s="149">
        <v>2354000</v>
      </c>
      <c r="B27" s="171" t="s">
        <v>71</v>
      </c>
      <c r="C27" s="177">
        <f t="shared" ref="C27:J27" si="8">SUM(C21:C26)</f>
        <v>87984</v>
      </c>
      <c r="D27" s="177">
        <f t="shared" si="8"/>
        <v>5534</v>
      </c>
      <c r="E27" s="177">
        <f t="shared" si="8"/>
        <v>16252</v>
      </c>
      <c r="F27" s="177">
        <f t="shared" si="8"/>
        <v>2877</v>
      </c>
      <c r="G27" s="177">
        <f t="shared" si="8"/>
        <v>112647</v>
      </c>
      <c r="H27" s="177">
        <f t="shared" si="8"/>
        <v>3700</v>
      </c>
      <c r="I27" s="177">
        <f t="shared" si="8"/>
        <v>3569</v>
      </c>
      <c r="J27" s="175">
        <f t="shared" si="8"/>
        <v>119916</v>
      </c>
    </row>
    <row r="28" spans="1:10" ht="15.75" customHeight="1">
      <c r="A28" s="162"/>
      <c r="B28" s="162"/>
      <c r="C28" s="162"/>
      <c r="D28" s="162"/>
      <c r="E28" s="162"/>
      <c r="F28" s="162"/>
      <c r="G28" s="162"/>
      <c r="H28" s="162"/>
      <c r="I28" s="162"/>
      <c r="J28" s="162"/>
    </row>
    <row r="29" spans="1:10" ht="15.75" customHeight="1">
      <c r="A29" s="162"/>
      <c r="B29" s="165" t="s">
        <v>69</v>
      </c>
      <c r="C29" s="166" t="s">
        <v>45</v>
      </c>
      <c r="D29" s="166" t="s">
        <v>46</v>
      </c>
      <c r="E29" s="166" t="s">
        <v>47</v>
      </c>
      <c r="F29" s="166" t="s">
        <v>48</v>
      </c>
      <c r="G29" s="165" t="s">
        <v>71</v>
      </c>
      <c r="H29" s="168" t="s">
        <v>73</v>
      </c>
      <c r="I29" s="169" t="s">
        <v>74</v>
      </c>
      <c r="J29" s="169" t="s">
        <v>71</v>
      </c>
    </row>
    <row r="30" spans="1:10" ht="15.75" customHeight="1">
      <c r="A30" s="170">
        <v>46174</v>
      </c>
      <c r="B30" s="171" t="s">
        <v>75</v>
      </c>
      <c r="C30" s="173">
        <v>33191</v>
      </c>
      <c r="D30" s="173">
        <v>1951</v>
      </c>
      <c r="E30" s="173">
        <v>3084</v>
      </c>
      <c r="F30" s="173">
        <v>835</v>
      </c>
      <c r="G30" s="173">
        <f t="shared" ref="G30:G35" si="9">SUM(C30:F30)</f>
        <v>39061</v>
      </c>
      <c r="H30" s="173">
        <v>735</v>
      </c>
      <c r="I30" s="173">
        <v>556</v>
      </c>
      <c r="J30" s="175">
        <f t="shared" ref="J30:J35" si="10">C30+D30+E30+F30+H30+I30</f>
        <v>40352</v>
      </c>
    </row>
    <row r="31" spans="1:10" ht="15.75" customHeight="1">
      <c r="A31" s="149">
        <v>1976000</v>
      </c>
      <c r="B31" s="171" t="s">
        <v>76</v>
      </c>
      <c r="C31" s="173">
        <v>9847</v>
      </c>
      <c r="D31" s="173">
        <v>1051</v>
      </c>
      <c r="E31" s="173">
        <v>3736</v>
      </c>
      <c r="F31" s="173">
        <v>250</v>
      </c>
      <c r="G31" s="173">
        <f t="shared" si="9"/>
        <v>14884</v>
      </c>
      <c r="H31" s="173">
        <v>650</v>
      </c>
      <c r="I31" s="173">
        <v>595</v>
      </c>
      <c r="J31" s="175">
        <f t="shared" si="10"/>
        <v>16129</v>
      </c>
    </row>
    <row r="32" spans="1:10" ht="15.75" customHeight="1">
      <c r="A32" s="149">
        <v>1977000</v>
      </c>
      <c r="B32" s="171" t="s">
        <v>78</v>
      </c>
      <c r="C32" s="173">
        <v>4935</v>
      </c>
      <c r="D32" s="173">
        <v>390</v>
      </c>
      <c r="E32" s="173">
        <v>1620</v>
      </c>
      <c r="F32" s="173">
        <v>413</v>
      </c>
      <c r="G32" s="173">
        <f t="shared" si="9"/>
        <v>7358</v>
      </c>
      <c r="H32" s="173">
        <v>732</v>
      </c>
      <c r="I32" s="173">
        <v>551</v>
      </c>
      <c r="J32" s="175">
        <f t="shared" si="10"/>
        <v>8641</v>
      </c>
    </row>
    <row r="33" spans="1:10" ht="15.75" customHeight="1">
      <c r="A33" s="149">
        <v>1978000</v>
      </c>
      <c r="B33" s="171" t="s">
        <v>80</v>
      </c>
      <c r="C33" s="173">
        <v>31321</v>
      </c>
      <c r="D33" s="173">
        <v>4864</v>
      </c>
      <c r="E33" s="173">
        <v>4868</v>
      </c>
      <c r="F33" s="173">
        <v>1812</v>
      </c>
      <c r="G33" s="173">
        <f t="shared" si="9"/>
        <v>42865</v>
      </c>
      <c r="H33" s="173">
        <v>624</v>
      </c>
      <c r="I33" s="173">
        <v>610</v>
      </c>
      <c r="J33" s="175">
        <f t="shared" si="10"/>
        <v>44099</v>
      </c>
    </row>
    <row r="34" spans="1:10" ht="15.75" customHeight="1">
      <c r="A34" s="149">
        <v>2352000</v>
      </c>
      <c r="B34" s="171" t="s">
        <v>81</v>
      </c>
      <c r="C34" s="173">
        <v>6659</v>
      </c>
      <c r="D34" s="173">
        <v>3346</v>
      </c>
      <c r="E34" s="173">
        <v>6620</v>
      </c>
      <c r="F34" s="173">
        <v>1906</v>
      </c>
      <c r="G34" s="173">
        <f t="shared" si="9"/>
        <v>18531</v>
      </c>
      <c r="H34" s="173">
        <v>723</v>
      </c>
      <c r="I34" s="173">
        <v>640</v>
      </c>
      <c r="J34" s="175">
        <f t="shared" si="10"/>
        <v>19894</v>
      </c>
    </row>
    <row r="35" spans="1:10" ht="15.75" customHeight="1">
      <c r="A35" s="149">
        <v>2353000</v>
      </c>
      <c r="B35" s="171" t="s">
        <v>83</v>
      </c>
      <c r="C35" s="173">
        <v>7220</v>
      </c>
      <c r="D35" s="173">
        <v>591</v>
      </c>
      <c r="E35" s="173">
        <v>3168</v>
      </c>
      <c r="F35" s="173">
        <v>387</v>
      </c>
      <c r="G35" s="173">
        <f t="shared" si="9"/>
        <v>11366</v>
      </c>
      <c r="H35" s="173">
        <v>657</v>
      </c>
      <c r="I35" s="173">
        <v>571</v>
      </c>
      <c r="J35" s="175">
        <f t="shared" si="10"/>
        <v>12594</v>
      </c>
    </row>
    <row r="36" spans="1:10" ht="15.75" customHeight="1">
      <c r="A36" s="149">
        <v>2354000</v>
      </c>
      <c r="B36" s="171" t="s">
        <v>71</v>
      </c>
      <c r="C36" s="177">
        <f t="shared" ref="C36:J36" si="11">SUM(C30:C35)</f>
        <v>93173</v>
      </c>
      <c r="D36" s="177">
        <f t="shared" si="11"/>
        <v>12193</v>
      </c>
      <c r="E36" s="177">
        <f t="shared" si="11"/>
        <v>23096</v>
      </c>
      <c r="F36" s="177">
        <f t="shared" si="11"/>
        <v>5603</v>
      </c>
      <c r="G36" s="177">
        <f t="shared" si="11"/>
        <v>134065</v>
      </c>
      <c r="H36" s="177">
        <f t="shared" si="11"/>
        <v>4121</v>
      </c>
      <c r="I36" s="177">
        <f t="shared" si="11"/>
        <v>3523</v>
      </c>
      <c r="J36" s="175">
        <f t="shared" si="11"/>
        <v>141709</v>
      </c>
    </row>
    <row r="37" spans="1:10" ht="14.25">
      <c r="A37" s="162"/>
      <c r="B37" s="162"/>
      <c r="C37" s="162"/>
      <c r="D37" s="162"/>
      <c r="E37" s="162"/>
      <c r="F37" s="162"/>
      <c r="G37" s="162"/>
      <c r="H37" s="162"/>
      <c r="I37" s="162"/>
      <c r="J37" s="162"/>
    </row>
    <row r="38" spans="1:10" ht="14.25">
      <c r="A38" s="162"/>
      <c r="B38" s="165" t="s">
        <v>69</v>
      </c>
      <c r="C38" s="166" t="s">
        <v>121</v>
      </c>
      <c r="D38" s="166" t="s">
        <v>46</v>
      </c>
      <c r="E38" s="166" t="s">
        <v>47</v>
      </c>
      <c r="F38" s="166" t="s">
        <v>48</v>
      </c>
      <c r="G38" s="165" t="s">
        <v>71</v>
      </c>
      <c r="H38" s="168" t="s">
        <v>73</v>
      </c>
      <c r="I38" s="169" t="s">
        <v>74</v>
      </c>
      <c r="J38" s="169" t="s">
        <v>71</v>
      </c>
    </row>
    <row r="39" spans="1:10" ht="14.25">
      <c r="A39" s="170">
        <v>46143</v>
      </c>
      <c r="B39" s="171" t="s">
        <v>75</v>
      </c>
      <c r="C39" s="173">
        <v>1543</v>
      </c>
      <c r="D39" s="173">
        <v>896</v>
      </c>
      <c r="E39" s="173">
        <v>788</v>
      </c>
      <c r="F39" s="173">
        <v>380</v>
      </c>
      <c r="G39" s="173">
        <f t="shared" ref="G39:G44" si="12">SUM(C39:F39)</f>
        <v>3607</v>
      </c>
      <c r="H39" s="173">
        <v>741</v>
      </c>
      <c r="I39" s="173">
        <v>586</v>
      </c>
      <c r="J39" s="175">
        <f t="shared" ref="J39:J44" si="13">C39+D39+E39+F39+H39+I39</f>
        <v>4934</v>
      </c>
    </row>
    <row r="40" spans="1:10" ht="14.25">
      <c r="A40" s="149">
        <v>1976000</v>
      </c>
      <c r="B40" s="171" t="s">
        <v>76</v>
      </c>
      <c r="C40" s="173">
        <v>6321</v>
      </c>
      <c r="D40" s="173">
        <v>1148</v>
      </c>
      <c r="E40" s="173">
        <v>1948</v>
      </c>
      <c r="F40" s="173">
        <v>253</v>
      </c>
      <c r="G40" s="173">
        <f t="shared" si="12"/>
        <v>9670</v>
      </c>
      <c r="H40" s="173">
        <v>539</v>
      </c>
      <c r="I40" s="173">
        <v>632</v>
      </c>
      <c r="J40" s="175">
        <f t="shared" si="13"/>
        <v>10841</v>
      </c>
    </row>
    <row r="41" spans="1:10" ht="14.25">
      <c r="A41" s="149">
        <v>1977000</v>
      </c>
      <c r="B41" s="171" t="s">
        <v>78</v>
      </c>
      <c r="C41" s="173">
        <v>875</v>
      </c>
      <c r="D41" s="173">
        <v>75</v>
      </c>
      <c r="E41" s="173">
        <v>824</v>
      </c>
      <c r="F41" s="173">
        <v>6</v>
      </c>
      <c r="G41" s="173">
        <f t="shared" si="12"/>
        <v>1780</v>
      </c>
      <c r="H41" s="173">
        <v>687</v>
      </c>
      <c r="I41" s="173">
        <v>572</v>
      </c>
      <c r="J41" s="175">
        <f t="shared" si="13"/>
        <v>3039</v>
      </c>
    </row>
    <row r="42" spans="1:10" ht="14.25">
      <c r="A42" s="149">
        <v>1978000</v>
      </c>
      <c r="B42" s="171" t="s">
        <v>80</v>
      </c>
      <c r="C42" s="173">
        <v>15520</v>
      </c>
      <c r="D42" s="173">
        <v>5504</v>
      </c>
      <c r="E42" s="173">
        <v>5252</v>
      </c>
      <c r="F42" s="173">
        <v>1945</v>
      </c>
      <c r="G42" s="173">
        <f t="shared" si="12"/>
        <v>28221</v>
      </c>
      <c r="H42" s="173">
        <v>651</v>
      </c>
      <c r="I42" s="173">
        <v>659</v>
      </c>
      <c r="J42" s="175">
        <f t="shared" si="13"/>
        <v>29531</v>
      </c>
    </row>
    <row r="43" spans="1:10" ht="14.25">
      <c r="A43" s="149">
        <v>2352000</v>
      </c>
      <c r="B43" s="171" t="s">
        <v>81</v>
      </c>
      <c r="C43" s="173">
        <v>21019</v>
      </c>
      <c r="D43" s="173">
        <v>3832</v>
      </c>
      <c r="E43" s="173">
        <v>7080</v>
      </c>
      <c r="F43" s="173">
        <v>1588</v>
      </c>
      <c r="G43" s="173">
        <f t="shared" si="12"/>
        <v>33519</v>
      </c>
      <c r="H43" s="173">
        <v>649</v>
      </c>
      <c r="I43" s="173">
        <v>687</v>
      </c>
      <c r="J43" s="175">
        <f t="shared" si="13"/>
        <v>34855</v>
      </c>
    </row>
    <row r="44" spans="1:10" ht="14.25">
      <c r="A44" s="149">
        <v>2353000</v>
      </c>
      <c r="B44" s="171" t="s">
        <v>83</v>
      </c>
      <c r="C44" s="173">
        <v>10318</v>
      </c>
      <c r="D44" s="173">
        <v>682</v>
      </c>
      <c r="E44" s="173">
        <v>3260</v>
      </c>
      <c r="F44" s="173">
        <v>427</v>
      </c>
      <c r="G44" s="173">
        <f t="shared" si="12"/>
        <v>14687</v>
      </c>
      <c r="H44" s="173">
        <v>641</v>
      </c>
      <c r="I44" s="173">
        <v>628</v>
      </c>
      <c r="J44" s="175">
        <f t="shared" si="13"/>
        <v>15956</v>
      </c>
    </row>
    <row r="45" spans="1:10" ht="14.25">
      <c r="A45" s="149">
        <v>2354000</v>
      </c>
      <c r="B45" s="171" t="s">
        <v>71</v>
      </c>
      <c r="C45" s="177">
        <f t="shared" ref="C45:J45" si="14">SUM(C39:C44)</f>
        <v>55596</v>
      </c>
      <c r="D45" s="177">
        <f t="shared" si="14"/>
        <v>12137</v>
      </c>
      <c r="E45" s="177">
        <f t="shared" si="14"/>
        <v>19152</v>
      </c>
      <c r="F45" s="177">
        <f t="shared" si="14"/>
        <v>4599</v>
      </c>
      <c r="G45" s="177">
        <f t="shared" si="14"/>
        <v>91484</v>
      </c>
      <c r="H45" s="177">
        <f t="shared" si="14"/>
        <v>3908</v>
      </c>
      <c r="I45" s="177">
        <f t="shared" si="14"/>
        <v>3764</v>
      </c>
      <c r="J45" s="175">
        <f t="shared" si="14"/>
        <v>99156</v>
      </c>
    </row>
    <row r="46" spans="1:10" ht="14.25">
      <c r="A46" s="162"/>
      <c r="B46" s="162"/>
      <c r="C46" s="162"/>
      <c r="D46" s="162"/>
      <c r="E46" s="162"/>
      <c r="F46" s="162"/>
      <c r="G46" s="162"/>
      <c r="H46" s="162"/>
      <c r="I46" s="162"/>
      <c r="J46" s="162"/>
    </row>
    <row r="47" spans="1:10" ht="14.25">
      <c r="A47" s="162"/>
      <c r="B47" s="165" t="s">
        <v>69</v>
      </c>
      <c r="C47" s="166" t="s">
        <v>121</v>
      </c>
      <c r="D47" s="166" t="s">
        <v>46</v>
      </c>
      <c r="E47" s="166" t="s">
        <v>47</v>
      </c>
      <c r="F47" s="166" t="s">
        <v>48</v>
      </c>
      <c r="G47" s="165" t="s">
        <v>71</v>
      </c>
      <c r="H47" s="168" t="s">
        <v>73</v>
      </c>
      <c r="I47" s="169" t="s">
        <v>74</v>
      </c>
      <c r="J47" s="169" t="s">
        <v>71</v>
      </c>
    </row>
    <row r="48" spans="1:10" ht="14.25">
      <c r="A48" s="170">
        <v>46113</v>
      </c>
      <c r="B48" s="171" t="s">
        <v>75</v>
      </c>
      <c r="C48" s="173">
        <v>6560</v>
      </c>
      <c r="D48" s="173">
        <v>376</v>
      </c>
      <c r="E48" s="173">
        <v>1464</v>
      </c>
      <c r="F48" s="173">
        <v>1201</v>
      </c>
      <c r="G48" s="173">
        <f t="shared" ref="G48:G53" si="15">SUM(C48:F48)</f>
        <v>9601</v>
      </c>
      <c r="H48" s="173">
        <v>717</v>
      </c>
      <c r="I48" s="173">
        <v>566</v>
      </c>
      <c r="J48" s="175">
        <f t="shared" ref="J48:J53" si="16">G48+H48+I48</f>
        <v>10884</v>
      </c>
    </row>
    <row r="49" spans="1:10" ht="14.25">
      <c r="A49" s="149">
        <v>1976000</v>
      </c>
      <c r="B49" s="171" t="s">
        <v>76</v>
      </c>
      <c r="C49" s="173">
        <v>22622</v>
      </c>
      <c r="D49" s="173" t="s">
        <v>127</v>
      </c>
      <c r="E49" s="173">
        <v>1912</v>
      </c>
      <c r="F49" s="173">
        <v>448</v>
      </c>
      <c r="G49" s="173">
        <f t="shared" si="15"/>
        <v>24982</v>
      </c>
      <c r="H49" s="173">
        <v>134</v>
      </c>
      <c r="I49" s="173">
        <v>460</v>
      </c>
      <c r="J49" s="175">
        <f t="shared" si="16"/>
        <v>25576</v>
      </c>
    </row>
    <row r="50" spans="1:10" ht="14.25">
      <c r="A50" s="149">
        <v>1977000</v>
      </c>
      <c r="B50" s="171" t="s">
        <v>78</v>
      </c>
      <c r="C50" s="173">
        <v>993</v>
      </c>
      <c r="D50" s="173">
        <v>225</v>
      </c>
      <c r="E50" s="173">
        <v>1308</v>
      </c>
      <c r="F50" s="173">
        <v>115</v>
      </c>
      <c r="G50" s="173">
        <f t="shared" si="15"/>
        <v>2641</v>
      </c>
      <c r="H50" s="173">
        <v>730</v>
      </c>
      <c r="I50" s="173">
        <v>572</v>
      </c>
      <c r="J50" s="175">
        <f t="shared" si="16"/>
        <v>3943</v>
      </c>
    </row>
    <row r="51" spans="1:10" ht="14.25">
      <c r="A51" s="149">
        <v>1978000</v>
      </c>
      <c r="B51" s="171" t="s">
        <v>80</v>
      </c>
      <c r="C51" s="173">
        <v>38671</v>
      </c>
      <c r="D51" s="173">
        <v>4690</v>
      </c>
      <c r="E51" s="173">
        <v>3264</v>
      </c>
      <c r="F51" s="173">
        <v>2672</v>
      </c>
      <c r="G51" s="173">
        <f t="shared" si="15"/>
        <v>49297</v>
      </c>
      <c r="H51" s="173">
        <v>621</v>
      </c>
      <c r="I51" s="173">
        <v>671</v>
      </c>
      <c r="J51" s="175">
        <f t="shared" si="16"/>
        <v>50589</v>
      </c>
    </row>
    <row r="52" spans="1:10" ht="14.25">
      <c r="A52" s="149">
        <v>2352000</v>
      </c>
      <c r="B52" s="171" t="s">
        <v>81</v>
      </c>
      <c r="C52" s="173">
        <v>31328</v>
      </c>
      <c r="D52" s="173">
        <v>2467</v>
      </c>
      <c r="E52" s="173">
        <v>4528</v>
      </c>
      <c r="F52" s="173">
        <v>1192</v>
      </c>
      <c r="G52" s="173">
        <f t="shared" si="15"/>
        <v>39515</v>
      </c>
      <c r="H52" s="173">
        <v>613</v>
      </c>
      <c r="I52" s="173">
        <v>669</v>
      </c>
      <c r="J52" s="175">
        <f t="shared" si="16"/>
        <v>40797</v>
      </c>
    </row>
    <row r="53" spans="1:10" ht="14.25">
      <c r="A53" s="149">
        <v>2353000</v>
      </c>
      <c r="B53" s="171" t="s">
        <v>83</v>
      </c>
      <c r="C53" s="173">
        <v>13634</v>
      </c>
      <c r="D53" s="173">
        <v>290</v>
      </c>
      <c r="E53" s="173">
        <v>2484</v>
      </c>
      <c r="F53" s="173">
        <v>251</v>
      </c>
      <c r="G53" s="173">
        <f t="shared" si="15"/>
        <v>16659</v>
      </c>
      <c r="H53" s="173">
        <v>612</v>
      </c>
      <c r="I53" s="173">
        <v>587</v>
      </c>
      <c r="J53" s="175">
        <f t="shared" si="16"/>
        <v>17858</v>
      </c>
    </row>
    <row r="54" spans="1:10" ht="14.25">
      <c r="A54" s="149">
        <v>2354000</v>
      </c>
      <c r="B54" s="171" t="s">
        <v>71</v>
      </c>
      <c r="C54" s="177">
        <f t="shared" ref="C54:J54" si="17">SUM(C48:C53)</f>
        <v>113808</v>
      </c>
      <c r="D54" s="177">
        <f t="shared" si="17"/>
        <v>8048</v>
      </c>
      <c r="E54" s="177">
        <f t="shared" si="17"/>
        <v>14960</v>
      </c>
      <c r="F54" s="177">
        <f t="shared" si="17"/>
        <v>5879</v>
      </c>
      <c r="G54" s="177">
        <f t="shared" si="17"/>
        <v>142695</v>
      </c>
      <c r="H54" s="177">
        <f t="shared" si="17"/>
        <v>3427</v>
      </c>
      <c r="I54" s="177">
        <f t="shared" si="17"/>
        <v>3525</v>
      </c>
      <c r="J54" s="175">
        <f t="shared" si="17"/>
        <v>149647</v>
      </c>
    </row>
    <row r="55" spans="1:10" ht="14.25">
      <c r="A55" s="162"/>
      <c r="B55" s="162"/>
      <c r="C55" s="162"/>
      <c r="D55" s="162"/>
      <c r="E55" s="162"/>
      <c r="F55" s="162"/>
      <c r="G55" s="162"/>
      <c r="H55" s="162"/>
      <c r="I55" s="162"/>
      <c r="J55" s="162"/>
    </row>
    <row r="56" spans="1:10" ht="14.25">
      <c r="A56" s="162"/>
      <c r="B56" s="165" t="s">
        <v>69</v>
      </c>
      <c r="C56" s="166" t="s">
        <v>121</v>
      </c>
      <c r="D56" s="166" t="s">
        <v>46</v>
      </c>
      <c r="E56" s="166" t="s">
        <v>47</v>
      </c>
      <c r="F56" s="166" t="s">
        <v>48</v>
      </c>
      <c r="G56" s="165" t="s">
        <v>71</v>
      </c>
      <c r="H56" s="168" t="s">
        <v>73</v>
      </c>
      <c r="I56" s="169" t="s">
        <v>74</v>
      </c>
      <c r="J56" s="169" t="s">
        <v>71</v>
      </c>
    </row>
    <row r="57" spans="1:10" ht="14.25">
      <c r="A57" s="170">
        <v>46082</v>
      </c>
      <c r="B57" s="171" t="s">
        <v>75</v>
      </c>
      <c r="C57" s="173">
        <v>2855</v>
      </c>
      <c r="D57" s="173">
        <v>38</v>
      </c>
      <c r="E57" s="173">
        <v>1008</v>
      </c>
      <c r="F57" s="173">
        <v>1</v>
      </c>
      <c r="G57" s="173">
        <f t="shared" ref="G57:G62" si="18">SUM(C57:F57)</f>
        <v>3902</v>
      </c>
      <c r="H57" s="173">
        <v>786</v>
      </c>
      <c r="I57" s="173">
        <v>554</v>
      </c>
      <c r="J57" s="175">
        <f t="shared" ref="J57:J62" si="19">G57+H57+I57</f>
        <v>5242</v>
      </c>
    </row>
    <row r="58" spans="1:10" ht="14.25">
      <c r="A58" s="149">
        <v>1976000</v>
      </c>
      <c r="B58" s="171" t="s">
        <v>76</v>
      </c>
      <c r="C58" s="173">
        <v>18772</v>
      </c>
      <c r="D58" s="173" t="s">
        <v>127</v>
      </c>
      <c r="E58" s="173">
        <v>16</v>
      </c>
      <c r="F58" s="173" t="s">
        <v>127</v>
      </c>
      <c r="G58" s="173">
        <f t="shared" si="18"/>
        <v>18788</v>
      </c>
      <c r="H58" s="173">
        <v>559</v>
      </c>
      <c r="I58" s="173">
        <v>374</v>
      </c>
      <c r="J58" s="175">
        <f t="shared" si="19"/>
        <v>19721</v>
      </c>
    </row>
    <row r="59" spans="1:10" ht="14.25">
      <c r="A59" s="149">
        <v>1977000</v>
      </c>
      <c r="B59" s="171" t="s">
        <v>78</v>
      </c>
      <c r="C59" s="173">
        <v>1462</v>
      </c>
      <c r="D59" s="173">
        <v>176</v>
      </c>
      <c r="E59" s="173">
        <v>2012</v>
      </c>
      <c r="F59" s="173">
        <v>157</v>
      </c>
      <c r="G59" s="173">
        <f t="shared" si="18"/>
        <v>3807</v>
      </c>
      <c r="H59" s="173">
        <v>767</v>
      </c>
      <c r="I59" s="173">
        <v>574</v>
      </c>
      <c r="J59" s="175">
        <f t="shared" si="19"/>
        <v>5148</v>
      </c>
    </row>
    <row r="60" spans="1:10" ht="14.25">
      <c r="A60" s="149">
        <v>1978000</v>
      </c>
      <c r="B60" s="171" t="s">
        <v>80</v>
      </c>
      <c r="C60" s="173">
        <v>35226</v>
      </c>
      <c r="D60" s="173">
        <v>4614</v>
      </c>
      <c r="E60" s="173">
        <v>3884</v>
      </c>
      <c r="F60" s="173">
        <v>1389</v>
      </c>
      <c r="G60" s="173">
        <f t="shared" si="18"/>
        <v>45113</v>
      </c>
      <c r="H60" s="173">
        <v>907</v>
      </c>
      <c r="I60" s="173">
        <v>656</v>
      </c>
      <c r="J60" s="175">
        <f t="shared" si="19"/>
        <v>46676</v>
      </c>
    </row>
    <row r="61" spans="1:10" ht="14.25">
      <c r="A61" s="149">
        <v>2352000</v>
      </c>
      <c r="B61" s="171" t="s">
        <v>81</v>
      </c>
      <c r="C61" s="173">
        <v>43291</v>
      </c>
      <c r="D61" s="173">
        <v>2709</v>
      </c>
      <c r="E61" s="173">
        <v>4492</v>
      </c>
      <c r="F61" s="173">
        <v>979</v>
      </c>
      <c r="G61" s="173">
        <f t="shared" si="18"/>
        <v>51471</v>
      </c>
      <c r="H61" s="173">
        <v>832</v>
      </c>
      <c r="I61" s="173">
        <v>718</v>
      </c>
      <c r="J61" s="175">
        <f t="shared" si="19"/>
        <v>53021</v>
      </c>
    </row>
    <row r="62" spans="1:10" ht="14.25">
      <c r="A62" s="149">
        <v>2353000</v>
      </c>
      <c r="B62" s="171" t="s">
        <v>83</v>
      </c>
      <c r="C62" s="173">
        <v>15728</v>
      </c>
      <c r="D62" s="173">
        <v>268</v>
      </c>
      <c r="E62" s="173">
        <v>2072</v>
      </c>
      <c r="F62" s="173">
        <v>478</v>
      </c>
      <c r="G62" s="173">
        <f t="shared" si="18"/>
        <v>18546</v>
      </c>
      <c r="H62" s="173">
        <v>709</v>
      </c>
      <c r="I62" s="173">
        <v>604</v>
      </c>
      <c r="J62" s="175">
        <f t="shared" si="19"/>
        <v>19859</v>
      </c>
    </row>
    <row r="63" spans="1:10" ht="14.25">
      <c r="A63" s="149">
        <v>2354000</v>
      </c>
      <c r="B63" s="171" t="s">
        <v>71</v>
      </c>
      <c r="C63" s="177">
        <f t="shared" ref="C63:J63" si="20">SUM(C57:C62)</f>
        <v>117334</v>
      </c>
      <c r="D63" s="177">
        <f t="shared" si="20"/>
        <v>7805</v>
      </c>
      <c r="E63" s="177">
        <f t="shared" si="20"/>
        <v>13484</v>
      </c>
      <c r="F63" s="177">
        <f t="shared" si="20"/>
        <v>3004</v>
      </c>
      <c r="G63" s="177">
        <f t="shared" si="20"/>
        <v>141627</v>
      </c>
      <c r="H63" s="177">
        <f t="shared" si="20"/>
        <v>4560</v>
      </c>
      <c r="I63" s="177">
        <f t="shared" si="20"/>
        <v>3480</v>
      </c>
      <c r="J63" s="175">
        <f t="shared" si="20"/>
        <v>149667</v>
      </c>
    </row>
    <row r="64" spans="1:10" ht="14.25">
      <c r="A64" s="162"/>
      <c r="B64" s="162"/>
      <c r="C64" s="162"/>
      <c r="D64" s="162"/>
      <c r="E64" s="162"/>
      <c r="F64" s="162"/>
      <c r="G64" s="162"/>
      <c r="H64" s="162"/>
      <c r="I64" s="162"/>
      <c r="J64" s="162"/>
    </row>
    <row r="65" spans="1:14" ht="14.25">
      <c r="A65" s="162"/>
      <c r="B65" s="165" t="s">
        <v>69</v>
      </c>
      <c r="C65" s="166" t="s">
        <v>121</v>
      </c>
      <c r="D65" s="166" t="s">
        <v>46</v>
      </c>
      <c r="E65" s="166" t="s">
        <v>47</v>
      </c>
      <c r="F65" s="166" t="s">
        <v>48</v>
      </c>
      <c r="G65" s="165" t="s">
        <v>71</v>
      </c>
      <c r="H65" s="168" t="s">
        <v>73</v>
      </c>
      <c r="I65" s="169" t="s">
        <v>74</v>
      </c>
      <c r="J65" s="169" t="s">
        <v>71</v>
      </c>
    </row>
    <row r="66" spans="1:14" ht="14.25">
      <c r="A66" s="170">
        <v>46054</v>
      </c>
      <c r="B66" s="171" t="s">
        <v>75</v>
      </c>
      <c r="C66" s="173">
        <v>5413</v>
      </c>
      <c r="D66" s="173">
        <v>2414</v>
      </c>
      <c r="E66" s="173">
        <v>2232</v>
      </c>
      <c r="F66" s="173">
        <v>564</v>
      </c>
      <c r="G66" s="173">
        <f t="shared" ref="G66:G71" si="21">SUM(C66:F66)</f>
        <v>10623</v>
      </c>
      <c r="H66" s="173">
        <v>724</v>
      </c>
      <c r="I66" s="173">
        <v>589</v>
      </c>
      <c r="J66" s="175">
        <f t="shared" ref="J66:J71" si="22">G66+H66+I66</f>
        <v>11936</v>
      </c>
    </row>
    <row r="67" spans="1:14" ht="14.25">
      <c r="A67" s="149">
        <v>1976000</v>
      </c>
      <c r="B67" s="171" t="s">
        <v>76</v>
      </c>
      <c r="C67" s="173">
        <v>15159</v>
      </c>
      <c r="D67" s="173">
        <v>1307</v>
      </c>
      <c r="E67" s="173">
        <v>3452</v>
      </c>
      <c r="F67" s="173">
        <v>425</v>
      </c>
      <c r="G67" s="173">
        <f t="shared" si="21"/>
        <v>20343</v>
      </c>
      <c r="H67" s="173">
        <v>714</v>
      </c>
      <c r="I67" s="173">
        <v>636</v>
      </c>
      <c r="J67" s="175">
        <f t="shared" si="22"/>
        <v>21693</v>
      </c>
    </row>
    <row r="68" spans="1:14" ht="14.25">
      <c r="A68" s="149">
        <v>1977000</v>
      </c>
      <c r="B68" s="171" t="s">
        <v>78</v>
      </c>
      <c r="C68" s="173">
        <v>2781</v>
      </c>
      <c r="D68" s="173">
        <v>167</v>
      </c>
      <c r="E68" s="173">
        <v>2372</v>
      </c>
      <c r="F68" s="173">
        <v>267</v>
      </c>
      <c r="G68" s="173">
        <f t="shared" si="21"/>
        <v>5587</v>
      </c>
      <c r="H68" s="173">
        <v>733</v>
      </c>
      <c r="I68" s="173">
        <v>524</v>
      </c>
      <c r="J68" s="175">
        <f t="shared" si="22"/>
        <v>6844</v>
      </c>
    </row>
    <row r="69" spans="1:14" ht="14.25">
      <c r="A69" s="149">
        <v>1978000</v>
      </c>
      <c r="B69" s="171" t="s">
        <v>80</v>
      </c>
      <c r="C69" s="173">
        <v>40008</v>
      </c>
      <c r="D69" s="173">
        <v>2298</v>
      </c>
      <c r="E69" s="173">
        <v>4464</v>
      </c>
      <c r="F69" s="173">
        <v>1198</v>
      </c>
      <c r="G69" s="173">
        <f t="shared" si="21"/>
        <v>47968</v>
      </c>
      <c r="H69" s="173">
        <v>689</v>
      </c>
      <c r="I69" s="173">
        <v>760</v>
      </c>
      <c r="J69" s="175">
        <f t="shared" si="22"/>
        <v>49417</v>
      </c>
    </row>
    <row r="70" spans="1:14" ht="14.25">
      <c r="A70" s="149">
        <v>2352000</v>
      </c>
      <c r="B70" s="171" t="s">
        <v>81</v>
      </c>
      <c r="C70" s="173">
        <v>35022</v>
      </c>
      <c r="D70" s="173">
        <v>2578</v>
      </c>
      <c r="E70" s="173">
        <v>4528</v>
      </c>
      <c r="F70" s="173">
        <v>919</v>
      </c>
      <c r="G70" s="173">
        <f t="shared" si="21"/>
        <v>43047</v>
      </c>
      <c r="H70" s="173">
        <v>724</v>
      </c>
      <c r="I70" s="173">
        <v>820</v>
      </c>
      <c r="J70" s="175">
        <f t="shared" si="22"/>
        <v>44591</v>
      </c>
    </row>
    <row r="71" spans="1:14" ht="14.25">
      <c r="A71" s="149">
        <v>2353000</v>
      </c>
      <c r="B71" s="171" t="s">
        <v>83</v>
      </c>
      <c r="C71" s="173">
        <v>9186</v>
      </c>
      <c r="D71" s="173">
        <v>311</v>
      </c>
      <c r="E71" s="173">
        <v>2924</v>
      </c>
      <c r="F71" s="173">
        <v>215</v>
      </c>
      <c r="G71" s="173">
        <f t="shared" si="21"/>
        <v>12636</v>
      </c>
      <c r="H71" s="173">
        <v>703</v>
      </c>
      <c r="I71" s="173">
        <v>406</v>
      </c>
      <c r="J71" s="175">
        <f t="shared" si="22"/>
        <v>13745</v>
      </c>
    </row>
    <row r="72" spans="1:14" ht="14.25">
      <c r="A72" s="149">
        <v>2354000</v>
      </c>
      <c r="B72" s="171" t="s">
        <v>71</v>
      </c>
      <c r="C72" s="177">
        <f t="shared" ref="C72:J72" si="23">SUM(C66:C71)</f>
        <v>107569</v>
      </c>
      <c r="D72" s="177">
        <f t="shared" si="23"/>
        <v>9075</v>
      </c>
      <c r="E72" s="177">
        <f t="shared" si="23"/>
        <v>19972</v>
      </c>
      <c r="F72" s="177">
        <f t="shared" si="23"/>
        <v>3588</v>
      </c>
      <c r="G72" s="177">
        <f t="shared" si="23"/>
        <v>140204</v>
      </c>
      <c r="H72" s="177">
        <f t="shared" si="23"/>
        <v>4287</v>
      </c>
      <c r="I72" s="177">
        <f t="shared" si="23"/>
        <v>3735</v>
      </c>
      <c r="J72" s="175">
        <f t="shared" si="23"/>
        <v>148226</v>
      </c>
    </row>
    <row r="73" spans="1:14" ht="14.25">
      <c r="A73" s="162"/>
      <c r="B73" s="162"/>
      <c r="C73" s="162"/>
      <c r="D73" s="162"/>
      <c r="E73" s="162"/>
      <c r="F73" s="162"/>
      <c r="G73" s="162"/>
      <c r="H73" s="162"/>
      <c r="I73" s="162"/>
      <c r="J73" s="162"/>
    </row>
    <row r="74" spans="1:14" ht="14.25">
      <c r="A74" s="162"/>
      <c r="B74" s="162"/>
      <c r="C74" s="162"/>
      <c r="D74" s="162"/>
      <c r="E74" s="162"/>
      <c r="F74" s="162"/>
      <c r="G74" s="162"/>
      <c r="H74" s="162"/>
      <c r="I74" s="162"/>
      <c r="J74" s="162"/>
    </row>
    <row r="75" spans="1:14" ht="14.25">
      <c r="A75" s="162"/>
      <c r="B75" s="165" t="s">
        <v>69</v>
      </c>
      <c r="C75" s="166" t="s">
        <v>121</v>
      </c>
      <c r="D75" s="166" t="s">
        <v>46</v>
      </c>
      <c r="E75" s="166" t="s">
        <v>47</v>
      </c>
      <c r="F75" s="166" t="s">
        <v>48</v>
      </c>
      <c r="G75" s="165" t="s">
        <v>71</v>
      </c>
      <c r="H75" s="168" t="s">
        <v>73</v>
      </c>
      <c r="I75" s="169" t="s">
        <v>74</v>
      </c>
      <c r="J75" s="169" t="s">
        <v>71</v>
      </c>
    </row>
    <row r="76" spans="1:14" ht="14.25">
      <c r="A76" s="170">
        <v>46023</v>
      </c>
      <c r="B76" s="171" t="s">
        <v>75</v>
      </c>
      <c r="C76" s="173">
        <v>9657</v>
      </c>
      <c r="D76" s="173">
        <v>1514</v>
      </c>
      <c r="E76" s="173">
        <v>2048</v>
      </c>
      <c r="F76" s="173">
        <v>466</v>
      </c>
      <c r="G76" s="173">
        <f t="shared" ref="G76:G81" si="24">SUM(C76:F76)</f>
        <v>13685</v>
      </c>
      <c r="H76" s="173">
        <v>693</v>
      </c>
      <c r="I76" s="173">
        <v>544</v>
      </c>
      <c r="J76" s="175">
        <f t="shared" ref="J76:J81" si="25">G76+H76+I76</f>
        <v>14922</v>
      </c>
      <c r="K76" s="7">
        <v>4749</v>
      </c>
      <c r="L76" s="118">
        <f t="shared" ref="L76:L81" si="26">J76+K76</f>
        <v>19671</v>
      </c>
      <c r="M76" s="118">
        <f t="shared" ref="M76:M81" si="27">L76/4</f>
        <v>4917.75</v>
      </c>
      <c r="N76" s="118">
        <f>M80</f>
        <v>6899.25</v>
      </c>
    </row>
    <row r="77" spans="1:14" ht="14.25">
      <c r="A77" s="149">
        <v>1976000</v>
      </c>
      <c r="B77" s="171" t="s">
        <v>76</v>
      </c>
      <c r="C77" s="173">
        <v>26310</v>
      </c>
      <c r="D77" s="173">
        <v>1368</v>
      </c>
      <c r="E77" s="173">
        <v>1956</v>
      </c>
      <c r="F77" s="173">
        <v>80</v>
      </c>
      <c r="G77" s="173">
        <f t="shared" si="24"/>
        <v>29714</v>
      </c>
      <c r="H77" s="173">
        <v>698</v>
      </c>
      <c r="I77" s="173">
        <v>569</v>
      </c>
      <c r="J77" s="175">
        <f t="shared" si="25"/>
        <v>30981</v>
      </c>
      <c r="K77" s="7">
        <v>3000</v>
      </c>
      <c r="L77" s="118">
        <f t="shared" si="26"/>
        <v>33981</v>
      </c>
      <c r="M77" s="118">
        <f t="shared" si="27"/>
        <v>8495.25</v>
      </c>
      <c r="N77" s="118">
        <f>M79</f>
        <v>3361.25</v>
      </c>
    </row>
    <row r="78" spans="1:14" ht="14.25">
      <c r="A78" s="149">
        <v>1977000</v>
      </c>
      <c r="B78" s="171" t="s">
        <v>78</v>
      </c>
      <c r="C78" s="173">
        <v>7884</v>
      </c>
      <c r="D78" s="173">
        <v>286</v>
      </c>
      <c r="E78" s="173">
        <v>1116</v>
      </c>
      <c r="F78" s="173">
        <v>84</v>
      </c>
      <c r="G78" s="173">
        <f t="shared" si="24"/>
        <v>9370</v>
      </c>
      <c r="H78" s="173">
        <v>677</v>
      </c>
      <c r="I78" s="173">
        <v>467</v>
      </c>
      <c r="J78" s="175">
        <f t="shared" si="25"/>
        <v>10514</v>
      </c>
      <c r="K78" s="7">
        <v>7400</v>
      </c>
      <c r="L78" s="118">
        <f t="shared" si="26"/>
        <v>17914</v>
      </c>
      <c r="M78" s="118">
        <f t="shared" si="27"/>
        <v>4478.5</v>
      </c>
      <c r="N78" s="118">
        <f>M81</f>
        <v>4312.75</v>
      </c>
    </row>
    <row r="79" spans="1:14" ht="14.25">
      <c r="A79" s="149">
        <v>1978000</v>
      </c>
      <c r="B79" s="171" t="s">
        <v>80</v>
      </c>
      <c r="C79" s="173">
        <v>6601</v>
      </c>
      <c r="D79" s="173">
        <v>2023</v>
      </c>
      <c r="E79" s="173">
        <v>3264</v>
      </c>
      <c r="F79" s="173">
        <v>220</v>
      </c>
      <c r="G79" s="173">
        <f t="shared" si="24"/>
        <v>12108</v>
      </c>
      <c r="H79" s="173">
        <v>664</v>
      </c>
      <c r="I79" s="173">
        <v>673</v>
      </c>
      <c r="J79" s="175">
        <f t="shared" si="25"/>
        <v>13445</v>
      </c>
      <c r="L79" s="118">
        <f t="shared" si="26"/>
        <v>13445</v>
      </c>
      <c r="M79" s="118">
        <f t="shared" si="27"/>
        <v>3361.25</v>
      </c>
      <c r="N79" s="118">
        <f t="shared" ref="N79:N81" si="28">M76</f>
        <v>4917.75</v>
      </c>
    </row>
    <row r="80" spans="1:14" ht="14.25">
      <c r="A80" s="149">
        <v>2352000</v>
      </c>
      <c r="B80" s="171" t="s">
        <v>81</v>
      </c>
      <c r="C80" s="173">
        <v>22131</v>
      </c>
      <c r="D80" s="173">
        <v>1767</v>
      </c>
      <c r="E80" s="173">
        <v>2276</v>
      </c>
      <c r="F80" s="173">
        <v>19</v>
      </c>
      <c r="G80" s="173">
        <f t="shared" si="24"/>
        <v>26193</v>
      </c>
      <c r="H80" s="173">
        <v>722</v>
      </c>
      <c r="I80" s="173">
        <v>682</v>
      </c>
      <c r="J80" s="175">
        <f t="shared" si="25"/>
        <v>27597</v>
      </c>
      <c r="L80" s="118">
        <f t="shared" si="26"/>
        <v>27597</v>
      </c>
      <c r="M80" s="118">
        <f t="shared" si="27"/>
        <v>6899.25</v>
      </c>
      <c r="N80" s="118">
        <f t="shared" si="28"/>
        <v>8495.25</v>
      </c>
    </row>
    <row r="81" spans="1:14" ht="14.25">
      <c r="A81" s="149">
        <v>2353000</v>
      </c>
      <c r="B81" s="171" t="s">
        <v>83</v>
      </c>
      <c r="C81" s="173">
        <v>14840</v>
      </c>
      <c r="D81" s="173">
        <v>435</v>
      </c>
      <c r="E81" s="173">
        <v>1076</v>
      </c>
      <c r="F81" s="173">
        <v>55</v>
      </c>
      <c r="G81" s="173">
        <f t="shared" si="24"/>
        <v>16406</v>
      </c>
      <c r="H81" s="173">
        <v>707</v>
      </c>
      <c r="I81" s="173">
        <v>138</v>
      </c>
      <c r="J81" s="175">
        <f t="shared" si="25"/>
        <v>17251</v>
      </c>
      <c r="L81" s="118">
        <f t="shared" si="26"/>
        <v>17251</v>
      </c>
      <c r="M81" s="118">
        <f t="shared" si="27"/>
        <v>4312.75</v>
      </c>
      <c r="N81" s="118">
        <f t="shared" si="28"/>
        <v>4478.5</v>
      </c>
    </row>
    <row r="82" spans="1:14" ht="14.25">
      <c r="A82" s="149">
        <v>2354000</v>
      </c>
      <c r="B82" s="171" t="s">
        <v>71</v>
      </c>
      <c r="C82" s="177">
        <f t="shared" ref="C82:J82" si="29">SUM(C76:C81)</f>
        <v>87423</v>
      </c>
      <c r="D82" s="177">
        <f t="shared" si="29"/>
        <v>7393</v>
      </c>
      <c r="E82" s="177">
        <f t="shared" si="29"/>
        <v>11736</v>
      </c>
      <c r="F82" s="177">
        <f t="shared" si="29"/>
        <v>924</v>
      </c>
      <c r="G82" s="177">
        <f t="shared" si="29"/>
        <v>107476</v>
      </c>
      <c r="H82" s="177">
        <f t="shared" si="29"/>
        <v>4161</v>
      </c>
      <c r="I82" s="177">
        <f t="shared" si="29"/>
        <v>3073</v>
      </c>
      <c r="J82" s="175">
        <f t="shared" si="29"/>
        <v>114710</v>
      </c>
    </row>
    <row r="83" spans="1:14" ht="14.25">
      <c r="A83" s="162"/>
      <c r="B83" s="162"/>
      <c r="C83" s="162"/>
      <c r="D83" s="162"/>
      <c r="E83" s="162"/>
      <c r="F83" s="162"/>
      <c r="G83" s="162"/>
      <c r="H83" s="162"/>
      <c r="I83" s="162"/>
      <c r="J83" s="162"/>
    </row>
    <row r="84" spans="1:14" ht="14.25">
      <c r="A84" s="162"/>
      <c r="B84" s="162"/>
      <c r="C84" s="162"/>
      <c r="D84" s="162"/>
      <c r="E84" s="162"/>
      <c r="F84" s="162"/>
      <c r="G84" s="162"/>
      <c r="H84" s="162"/>
      <c r="I84" s="162"/>
      <c r="J84" s="162"/>
    </row>
    <row r="85" spans="1:14" ht="14.25">
      <c r="A85" s="162"/>
      <c r="B85" s="165" t="s">
        <v>69</v>
      </c>
      <c r="C85" s="166" t="s">
        <v>121</v>
      </c>
      <c r="D85" s="166" t="s">
        <v>46</v>
      </c>
      <c r="E85" s="166" t="s">
        <v>47</v>
      </c>
      <c r="F85" s="166" t="s">
        <v>48</v>
      </c>
      <c r="G85" s="165" t="s">
        <v>71</v>
      </c>
      <c r="H85" s="168" t="s">
        <v>73</v>
      </c>
      <c r="I85" s="169" t="s">
        <v>74</v>
      </c>
      <c r="J85" s="169" t="s">
        <v>71</v>
      </c>
      <c r="M85" s="118"/>
    </row>
    <row r="86" spans="1:14" ht="14.25">
      <c r="A86" s="170">
        <v>45992</v>
      </c>
      <c r="B86" s="171" t="s">
        <v>75</v>
      </c>
      <c r="C86" s="173">
        <v>12340</v>
      </c>
      <c r="D86" s="229">
        <v>1966</v>
      </c>
      <c r="E86" s="229">
        <v>1864</v>
      </c>
      <c r="F86" s="229">
        <v>880</v>
      </c>
      <c r="G86" s="173">
        <f t="shared" ref="G86:G91" si="30">SUM(C86:F86)</f>
        <v>17050</v>
      </c>
      <c r="H86" s="175">
        <v>763</v>
      </c>
      <c r="I86" s="175">
        <v>591</v>
      </c>
      <c r="J86" s="175">
        <f t="shared" ref="J86:J91" si="31">G86+H86+I86</f>
        <v>18404</v>
      </c>
      <c r="K86" s="7">
        <v>4749</v>
      </c>
      <c r="L86" s="118">
        <f t="shared" ref="L86:L91" si="32">J86+K86</f>
        <v>23153</v>
      </c>
      <c r="M86" s="118">
        <f t="shared" ref="M86:M91" si="33">L86/4</f>
        <v>5788.25</v>
      </c>
      <c r="N86" s="118">
        <f>M90</f>
        <v>9422.25</v>
      </c>
    </row>
    <row r="87" spans="1:14" ht="14.25">
      <c r="A87" s="149">
        <v>1976000</v>
      </c>
      <c r="B87" s="171" t="s">
        <v>76</v>
      </c>
      <c r="C87" s="177">
        <v>26775</v>
      </c>
      <c r="D87" s="230">
        <v>1303</v>
      </c>
      <c r="E87" s="230">
        <v>2172</v>
      </c>
      <c r="F87" s="230">
        <v>305</v>
      </c>
      <c r="G87" s="173">
        <f t="shared" si="30"/>
        <v>30555</v>
      </c>
      <c r="H87" s="175">
        <v>730</v>
      </c>
      <c r="I87" s="175">
        <v>615</v>
      </c>
      <c r="J87" s="175">
        <f t="shared" si="31"/>
        <v>31900</v>
      </c>
      <c r="K87" s="7">
        <v>3000</v>
      </c>
      <c r="L87" s="118">
        <f t="shared" si="32"/>
        <v>34900</v>
      </c>
      <c r="M87" s="118">
        <f t="shared" si="33"/>
        <v>8725</v>
      </c>
      <c r="N87" s="118">
        <f>M89</f>
        <v>8939.25</v>
      </c>
    </row>
    <row r="88" spans="1:14" ht="14.25">
      <c r="A88" s="149">
        <v>1977000</v>
      </c>
      <c r="B88" s="171" t="s">
        <v>78</v>
      </c>
      <c r="C88" s="177">
        <v>9733</v>
      </c>
      <c r="D88" s="231">
        <v>235</v>
      </c>
      <c r="E88" s="230">
        <v>1192</v>
      </c>
      <c r="F88" s="230">
        <v>155</v>
      </c>
      <c r="G88" s="173">
        <f t="shared" si="30"/>
        <v>11315</v>
      </c>
      <c r="H88" s="175">
        <v>733</v>
      </c>
      <c r="I88" s="175">
        <v>492</v>
      </c>
      <c r="J88" s="175">
        <f t="shared" si="31"/>
        <v>12540</v>
      </c>
      <c r="K88" s="7">
        <v>7400</v>
      </c>
      <c r="L88" s="118">
        <f t="shared" si="32"/>
        <v>19940</v>
      </c>
      <c r="M88" s="118">
        <f t="shared" si="33"/>
        <v>4985</v>
      </c>
      <c r="N88" s="118">
        <f>M91</f>
        <v>5120.75</v>
      </c>
    </row>
    <row r="89" spans="1:14" ht="14.25">
      <c r="A89" s="149">
        <v>1978000</v>
      </c>
      <c r="B89" s="171" t="s">
        <v>80</v>
      </c>
      <c r="C89" s="177">
        <v>26676</v>
      </c>
      <c r="D89" s="230">
        <v>2246</v>
      </c>
      <c r="E89" s="230">
        <v>4280</v>
      </c>
      <c r="F89" s="230">
        <v>1071</v>
      </c>
      <c r="G89" s="173">
        <f t="shared" si="30"/>
        <v>34273</v>
      </c>
      <c r="H89" s="175">
        <v>736</v>
      </c>
      <c r="I89" s="175">
        <v>748</v>
      </c>
      <c r="J89" s="175">
        <f t="shared" si="31"/>
        <v>35757</v>
      </c>
      <c r="L89" s="118">
        <f t="shared" si="32"/>
        <v>35757</v>
      </c>
      <c r="M89" s="118">
        <f t="shared" si="33"/>
        <v>8939.25</v>
      </c>
      <c r="N89" s="118">
        <f t="shared" ref="N89:N91" si="34">M86</f>
        <v>5788.25</v>
      </c>
    </row>
    <row r="90" spans="1:14" ht="14.25">
      <c r="A90" s="149">
        <v>2352000</v>
      </c>
      <c r="B90" s="171" t="s">
        <v>81</v>
      </c>
      <c r="C90" s="177">
        <v>29889</v>
      </c>
      <c r="D90" s="230">
        <v>1965</v>
      </c>
      <c r="E90" s="230">
        <v>3716</v>
      </c>
      <c r="F90" s="230">
        <v>597</v>
      </c>
      <c r="G90" s="173">
        <f t="shared" si="30"/>
        <v>36167</v>
      </c>
      <c r="H90" s="175">
        <v>726</v>
      </c>
      <c r="I90" s="175">
        <v>796</v>
      </c>
      <c r="J90" s="175">
        <f t="shared" si="31"/>
        <v>37689</v>
      </c>
      <c r="L90" s="118">
        <f t="shared" si="32"/>
        <v>37689</v>
      </c>
      <c r="M90" s="118">
        <f t="shared" si="33"/>
        <v>9422.25</v>
      </c>
      <c r="N90" s="118">
        <f t="shared" si="34"/>
        <v>8725</v>
      </c>
    </row>
    <row r="91" spans="1:14" ht="14.25">
      <c r="A91" s="149">
        <v>2353000</v>
      </c>
      <c r="B91" s="171" t="s">
        <v>83</v>
      </c>
      <c r="C91" s="177">
        <v>17588</v>
      </c>
      <c r="D91" s="231">
        <v>339</v>
      </c>
      <c r="E91" s="230">
        <v>1636</v>
      </c>
      <c r="F91" s="230">
        <v>166</v>
      </c>
      <c r="G91" s="173">
        <f t="shared" si="30"/>
        <v>19729</v>
      </c>
      <c r="H91" s="175">
        <v>630</v>
      </c>
      <c r="I91" s="175">
        <v>124</v>
      </c>
      <c r="J91" s="175">
        <f t="shared" si="31"/>
        <v>20483</v>
      </c>
      <c r="L91" s="118">
        <f t="shared" si="32"/>
        <v>20483</v>
      </c>
      <c r="M91" s="118">
        <f t="shared" si="33"/>
        <v>5120.75</v>
      </c>
      <c r="N91" s="118">
        <f t="shared" si="34"/>
        <v>4985</v>
      </c>
    </row>
    <row r="92" spans="1:14" ht="14.25">
      <c r="A92" s="149">
        <v>2354000</v>
      </c>
      <c r="B92" s="171" t="s">
        <v>71</v>
      </c>
      <c r="C92" s="177">
        <f t="shared" ref="C92:J92" si="35">SUM(C86:C91)</f>
        <v>123001</v>
      </c>
      <c r="D92" s="177">
        <f t="shared" si="35"/>
        <v>8054</v>
      </c>
      <c r="E92" s="177">
        <f t="shared" si="35"/>
        <v>14860</v>
      </c>
      <c r="F92" s="177">
        <f t="shared" si="35"/>
        <v>3174</v>
      </c>
      <c r="G92" s="177">
        <f t="shared" si="35"/>
        <v>149089</v>
      </c>
      <c r="H92" s="175">
        <f t="shared" si="35"/>
        <v>4318</v>
      </c>
      <c r="I92" s="175">
        <f t="shared" si="35"/>
        <v>3366</v>
      </c>
      <c r="J92" s="175">
        <f t="shared" si="35"/>
        <v>156773</v>
      </c>
    </row>
    <row r="93" spans="1:14" ht="14.25">
      <c r="A93" s="162"/>
    </row>
    <row r="94" spans="1:14" ht="12.75">
      <c r="M94" s="118"/>
    </row>
    <row r="95" spans="1:14" ht="14.25">
      <c r="B95" s="165" t="s">
        <v>69</v>
      </c>
      <c r="C95" s="166" t="s">
        <v>121</v>
      </c>
      <c r="D95" s="166" t="s">
        <v>46</v>
      </c>
      <c r="E95" s="166" t="s">
        <v>47</v>
      </c>
      <c r="F95" s="166" t="s">
        <v>48</v>
      </c>
      <c r="G95" s="165" t="s">
        <v>71</v>
      </c>
      <c r="H95" s="168" t="s">
        <v>73</v>
      </c>
      <c r="I95" s="169" t="s">
        <v>74</v>
      </c>
      <c r="J95" s="169" t="s">
        <v>71</v>
      </c>
      <c r="M95" s="118"/>
    </row>
    <row r="96" spans="1:14" ht="14.25">
      <c r="A96" s="170">
        <v>45962</v>
      </c>
      <c r="B96" s="171" t="s">
        <v>75</v>
      </c>
      <c r="C96" s="173">
        <v>15489</v>
      </c>
      <c r="D96" s="229">
        <v>1891</v>
      </c>
      <c r="E96" s="229">
        <v>2460</v>
      </c>
      <c r="F96" s="229">
        <v>829</v>
      </c>
      <c r="G96" s="173">
        <f t="shared" ref="G96:G101" si="36">SUM(C96:F96)</f>
        <v>20669</v>
      </c>
      <c r="H96" s="175">
        <v>778</v>
      </c>
      <c r="I96" s="175">
        <v>547</v>
      </c>
      <c r="J96" s="175">
        <f t="shared" ref="J96:J101" si="37">G96+H96+I96</f>
        <v>21994</v>
      </c>
      <c r="M96" s="118"/>
    </row>
    <row r="97" spans="1:10" ht="14.25">
      <c r="A97" s="149">
        <v>1976000</v>
      </c>
      <c r="B97" s="171" t="s">
        <v>76</v>
      </c>
      <c r="C97" s="173">
        <v>31759</v>
      </c>
      <c r="D97" s="229">
        <v>1921</v>
      </c>
      <c r="E97" s="229">
        <v>2224</v>
      </c>
      <c r="F97" s="229">
        <v>350</v>
      </c>
      <c r="G97" s="173">
        <f t="shared" si="36"/>
        <v>36254</v>
      </c>
      <c r="H97" s="175">
        <v>697</v>
      </c>
      <c r="I97" s="175">
        <v>566</v>
      </c>
      <c r="J97" s="175">
        <f t="shared" si="37"/>
        <v>37517</v>
      </c>
    </row>
    <row r="98" spans="1:10" ht="14.25">
      <c r="A98" s="149">
        <v>1977000</v>
      </c>
      <c r="B98" s="171" t="s">
        <v>78</v>
      </c>
      <c r="C98" s="173">
        <v>12104</v>
      </c>
      <c r="D98" s="229">
        <v>200</v>
      </c>
      <c r="E98" s="229">
        <v>1032</v>
      </c>
      <c r="F98" s="229">
        <v>192</v>
      </c>
      <c r="G98" s="173">
        <f t="shared" si="36"/>
        <v>13528</v>
      </c>
      <c r="H98" s="175">
        <v>714</v>
      </c>
      <c r="I98" s="175">
        <v>295</v>
      </c>
      <c r="J98" s="175">
        <f t="shared" si="37"/>
        <v>14537</v>
      </c>
    </row>
    <row r="99" spans="1:10" ht="14.25">
      <c r="A99" s="149">
        <v>1978000</v>
      </c>
      <c r="B99" s="171" t="s">
        <v>80</v>
      </c>
      <c r="C99" s="173">
        <v>21414</v>
      </c>
      <c r="D99" s="229">
        <v>2321</v>
      </c>
      <c r="E99" s="229">
        <v>3340</v>
      </c>
      <c r="F99" s="229">
        <v>1537</v>
      </c>
      <c r="G99" s="173">
        <f t="shared" si="36"/>
        <v>28612</v>
      </c>
      <c r="H99" s="175">
        <v>858</v>
      </c>
      <c r="I99" s="175">
        <v>706</v>
      </c>
      <c r="J99" s="175">
        <f t="shared" si="37"/>
        <v>30176</v>
      </c>
    </row>
    <row r="100" spans="1:10" ht="14.25">
      <c r="A100" s="149">
        <v>2352000</v>
      </c>
      <c r="B100" s="171" t="s">
        <v>81</v>
      </c>
      <c r="C100" s="173">
        <v>27050</v>
      </c>
      <c r="D100" s="229">
        <v>1945</v>
      </c>
      <c r="E100" s="229">
        <v>3612</v>
      </c>
      <c r="F100" s="229">
        <v>685</v>
      </c>
      <c r="G100" s="173">
        <f t="shared" si="36"/>
        <v>33292</v>
      </c>
      <c r="H100" s="175">
        <v>823</v>
      </c>
      <c r="I100" s="175">
        <v>731</v>
      </c>
      <c r="J100" s="175">
        <f t="shared" si="37"/>
        <v>34846</v>
      </c>
    </row>
    <row r="101" spans="1:10" ht="14.25">
      <c r="A101" s="149">
        <v>2353000</v>
      </c>
      <c r="B101" s="171" t="s">
        <v>83</v>
      </c>
      <c r="C101" s="173">
        <v>11368</v>
      </c>
      <c r="D101" s="229">
        <v>252</v>
      </c>
      <c r="E101" s="229">
        <v>1900</v>
      </c>
      <c r="F101" s="229">
        <v>207</v>
      </c>
      <c r="G101" s="173">
        <f t="shared" si="36"/>
        <v>13727</v>
      </c>
      <c r="H101" s="175">
        <v>731</v>
      </c>
      <c r="I101" s="175">
        <v>133</v>
      </c>
      <c r="J101" s="175">
        <f t="shared" si="37"/>
        <v>14591</v>
      </c>
    </row>
    <row r="102" spans="1:10" ht="14.25">
      <c r="A102" s="149">
        <v>2354000</v>
      </c>
    </row>
  </sheetData>
  <phoneticPr fontId="8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99A9D"/>
    <outlinePr summaryBelow="0" summaryRight="0"/>
  </sheetPr>
  <dimension ref="A1:AH982"/>
  <sheetViews>
    <sheetView workbookViewId="0"/>
  </sheetViews>
  <sheetFormatPr defaultColWidth="14.42578125" defaultRowHeight="15.75" customHeight="1" outlineLevelRow="1"/>
  <cols>
    <col min="1" max="2" width="10.7109375" customWidth="1"/>
    <col min="3" max="3" width="13.140625" customWidth="1"/>
    <col min="4" max="4" width="12.140625" customWidth="1"/>
    <col min="5" max="8" width="10.7109375" customWidth="1"/>
    <col min="9" max="9" width="15.85546875" customWidth="1"/>
    <col min="12" max="20" width="14.42578125" hidden="1"/>
  </cols>
  <sheetData>
    <row r="1" spans="1:34" ht="15.75" customHeight="1">
      <c r="A1" s="178"/>
      <c r="B1" s="178"/>
      <c r="C1" s="178"/>
      <c r="D1" s="178"/>
      <c r="E1" s="178"/>
      <c r="F1" s="178"/>
      <c r="G1" s="178"/>
      <c r="H1" s="178"/>
      <c r="I1" s="179"/>
      <c r="J1" s="180"/>
      <c r="K1" s="180"/>
    </row>
    <row r="2" spans="1:34" ht="15.75" customHeight="1">
      <c r="A2" s="178"/>
      <c r="B2" s="178"/>
      <c r="C2" s="178"/>
      <c r="D2" s="178"/>
      <c r="E2" s="178"/>
      <c r="F2" s="178"/>
      <c r="G2" s="178"/>
      <c r="H2" s="178"/>
      <c r="I2" s="904" t="s">
        <v>91</v>
      </c>
      <c r="J2" s="905"/>
      <c r="K2" s="905"/>
      <c r="R2" s="182" t="s">
        <v>92</v>
      </c>
      <c r="W2" s="7" t="s">
        <v>93</v>
      </c>
      <c r="X2" s="183" t="s">
        <v>95</v>
      </c>
      <c r="Y2" s="184" t="s">
        <v>95</v>
      </c>
      <c r="Z2" s="184" t="s">
        <v>96</v>
      </c>
      <c r="AA2" s="7" t="s">
        <v>97</v>
      </c>
      <c r="AB2" s="7"/>
    </row>
    <row r="3" spans="1:34">
      <c r="A3" s="178"/>
      <c r="B3" s="178"/>
      <c r="C3" s="178"/>
      <c r="D3" s="178"/>
      <c r="E3" s="178"/>
      <c r="F3" s="178"/>
      <c r="G3" s="178"/>
      <c r="H3" s="178"/>
      <c r="I3" s="185"/>
      <c r="J3" s="186"/>
      <c r="K3" s="186" t="s">
        <v>98</v>
      </c>
      <c r="U3" s="7" t="s">
        <v>99</v>
      </c>
      <c r="W3" s="7">
        <v>2</v>
      </c>
      <c r="X3" s="7">
        <v>3</v>
      </c>
      <c r="Y3" s="7">
        <v>4</v>
      </c>
      <c r="Z3" s="7">
        <v>5</v>
      </c>
      <c r="AA3" s="7">
        <v>6</v>
      </c>
      <c r="AB3" s="7">
        <v>7</v>
      </c>
      <c r="AC3" s="7">
        <v>8</v>
      </c>
      <c r="AD3" s="7">
        <v>9</v>
      </c>
      <c r="AG3" s="7"/>
      <c r="AH3" s="7"/>
    </row>
    <row r="4" spans="1:34" ht="15.75" customHeight="1">
      <c r="A4" s="178"/>
      <c r="B4" s="178"/>
      <c r="C4" s="178"/>
      <c r="D4" s="178"/>
      <c r="E4" s="178"/>
      <c r="F4" s="178"/>
      <c r="G4" s="178"/>
      <c r="H4" s="178"/>
      <c r="I4" s="6">
        <v>1750</v>
      </c>
      <c r="J4" s="186"/>
      <c r="K4" s="186" t="s">
        <v>101</v>
      </c>
      <c r="R4" s="7" t="s">
        <v>102</v>
      </c>
      <c r="S4" s="7" t="s">
        <v>102</v>
      </c>
      <c r="U4" s="7" t="s">
        <v>103</v>
      </c>
      <c r="V4" s="7"/>
      <c r="W4" s="7">
        <v>5</v>
      </c>
      <c r="X4" s="7">
        <v>6</v>
      </c>
      <c r="Y4" s="7">
        <v>7</v>
      </c>
      <c r="Z4" s="7">
        <v>8</v>
      </c>
      <c r="AA4" s="7">
        <v>9</v>
      </c>
      <c r="AB4" s="7">
        <v>10</v>
      </c>
      <c r="AC4" s="7">
        <v>11</v>
      </c>
      <c r="AD4" s="7">
        <v>12</v>
      </c>
      <c r="AG4" s="7"/>
      <c r="AH4" s="7"/>
    </row>
    <row r="5" spans="1:34" ht="15.75" customHeight="1">
      <c r="A5" s="906" t="s">
        <v>6</v>
      </c>
      <c r="B5" s="860"/>
      <c r="C5" s="11" t="s">
        <v>7</v>
      </c>
      <c r="D5" s="11" t="s">
        <v>8</v>
      </c>
      <c r="E5" s="11" t="s">
        <v>9</v>
      </c>
      <c r="F5" s="13" t="s">
        <v>105</v>
      </c>
      <c r="G5" s="13" t="s">
        <v>11</v>
      </c>
      <c r="H5" s="13" t="s">
        <v>12</v>
      </c>
      <c r="I5" s="907" t="s">
        <v>13</v>
      </c>
      <c r="J5" s="879"/>
      <c r="K5" s="860"/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5" t="s">
        <v>23</v>
      </c>
      <c r="V5" s="15" t="s">
        <v>107</v>
      </c>
      <c r="W5" s="16" t="s">
        <v>25</v>
      </c>
      <c r="X5" s="14" t="s">
        <v>26</v>
      </c>
      <c r="Y5" s="14" t="s">
        <v>15</v>
      </c>
      <c r="Z5" s="14" t="s">
        <v>16</v>
      </c>
      <c r="AA5" s="14" t="s">
        <v>17</v>
      </c>
      <c r="AB5" s="14" t="s">
        <v>18</v>
      </c>
      <c r="AC5" s="16" t="s">
        <v>19</v>
      </c>
      <c r="AD5" s="187" t="s">
        <v>20</v>
      </c>
      <c r="AE5" s="18" t="s">
        <v>21</v>
      </c>
      <c r="AF5" s="18" t="s">
        <v>22</v>
      </c>
      <c r="AG5" s="7"/>
      <c r="AH5" s="7"/>
    </row>
    <row r="6" spans="1:34">
      <c r="A6" s="891" t="s">
        <v>27</v>
      </c>
      <c r="B6" s="188" t="s">
        <v>110</v>
      </c>
      <c r="C6" s="189">
        <v>0</v>
      </c>
      <c r="D6" s="898">
        <f>SUM(C6:C11)</f>
        <v>0</v>
      </c>
      <c r="E6" s="22">
        <f>D6/22</f>
        <v>0</v>
      </c>
      <c r="F6" s="23">
        <f t="shared" ref="F6:F17" si="0">AVERAGE(S28:U28)</f>
        <v>116.33333333333333</v>
      </c>
      <c r="G6" s="22">
        <v>576</v>
      </c>
      <c r="H6" s="22">
        <f t="shared" ref="H6:H17" si="1">AB6/6</f>
        <v>0</v>
      </c>
      <c r="I6" s="908" t="s">
        <v>28</v>
      </c>
      <c r="J6" s="891" t="s">
        <v>27</v>
      </c>
      <c r="K6" s="190" t="s">
        <v>110</v>
      </c>
      <c r="L6" s="28"/>
      <c r="M6" s="28"/>
      <c r="N6" s="28">
        <v>540</v>
      </c>
      <c r="O6" s="28">
        <v>282</v>
      </c>
      <c r="P6" s="28">
        <v>1080</v>
      </c>
      <c r="Q6" s="28">
        <v>540</v>
      </c>
      <c r="R6" s="28">
        <v>270</v>
      </c>
      <c r="S6" s="28"/>
      <c r="T6" s="28">
        <v>1620</v>
      </c>
      <c r="U6" s="191"/>
      <c r="V6" s="191"/>
      <c r="W6" s="192"/>
      <c r="X6" s="28"/>
      <c r="Y6" s="28"/>
      <c r="Z6" s="28"/>
      <c r="AA6" s="28"/>
      <c r="AB6" s="28">
        <v>0</v>
      </c>
      <c r="AC6" s="192"/>
      <c r="AD6" s="193"/>
      <c r="AE6" s="194"/>
      <c r="AF6" s="194"/>
      <c r="AG6" s="7"/>
      <c r="AH6" s="7"/>
    </row>
    <row r="7" spans="1:34">
      <c r="A7" s="865"/>
      <c r="B7" s="188">
        <v>1</v>
      </c>
      <c r="C7" s="189">
        <v>0</v>
      </c>
      <c r="D7" s="865"/>
      <c r="E7" s="22"/>
      <c r="F7" s="23">
        <f t="shared" si="0"/>
        <v>762</v>
      </c>
      <c r="G7" s="22">
        <v>432</v>
      </c>
      <c r="H7" s="22">
        <f t="shared" si="1"/>
        <v>0</v>
      </c>
      <c r="I7" s="869"/>
      <c r="J7" s="865"/>
      <c r="K7" s="190">
        <v>1</v>
      </c>
      <c r="L7" s="196">
        <v>2700</v>
      </c>
      <c r="M7" s="196"/>
      <c r="N7" s="196">
        <v>2160</v>
      </c>
      <c r="O7" s="196">
        <v>5400</v>
      </c>
      <c r="P7" s="196">
        <v>2970</v>
      </c>
      <c r="Q7" s="196">
        <v>2220</v>
      </c>
      <c r="R7" s="196">
        <v>1620</v>
      </c>
      <c r="S7" s="196"/>
      <c r="T7" s="196">
        <v>3780</v>
      </c>
      <c r="U7" s="191"/>
      <c r="V7" s="191"/>
      <c r="W7" s="192"/>
      <c r="X7" s="196"/>
      <c r="Y7" s="196"/>
      <c r="Z7" s="196"/>
      <c r="AA7" s="196"/>
      <c r="AB7" s="196">
        <v>0</v>
      </c>
      <c r="AC7" s="192"/>
      <c r="AD7" s="197"/>
      <c r="AE7" s="194"/>
      <c r="AF7" s="194"/>
      <c r="AG7" s="7"/>
      <c r="AH7" s="7"/>
    </row>
    <row r="8" spans="1:34">
      <c r="A8" s="865"/>
      <c r="B8" s="188" t="s">
        <v>119</v>
      </c>
      <c r="C8" s="189">
        <v>0</v>
      </c>
      <c r="D8" s="865"/>
      <c r="E8" s="22"/>
      <c r="F8" s="23">
        <f t="shared" si="0"/>
        <v>229</v>
      </c>
      <c r="G8" s="22">
        <v>600</v>
      </c>
      <c r="H8" s="22">
        <f t="shared" si="1"/>
        <v>0</v>
      </c>
      <c r="I8" s="869"/>
      <c r="J8" s="865"/>
      <c r="K8" s="190" t="s">
        <v>119</v>
      </c>
      <c r="L8" s="196">
        <v>2736</v>
      </c>
      <c r="M8" s="196"/>
      <c r="N8" s="196"/>
      <c r="O8" s="196"/>
      <c r="P8" s="196">
        <v>7140</v>
      </c>
      <c r="Q8" s="196"/>
      <c r="R8" s="196"/>
      <c r="S8" s="196">
        <v>3480</v>
      </c>
      <c r="T8" s="196">
        <v>3240</v>
      </c>
      <c r="U8" s="191"/>
      <c r="V8" s="191"/>
      <c r="W8" s="192"/>
      <c r="X8" s="198">
        <f>1620*4+192*4</f>
        <v>7248</v>
      </c>
      <c r="Y8" s="196"/>
      <c r="Z8" s="196"/>
      <c r="AA8" s="196"/>
      <c r="AB8" s="196">
        <v>0</v>
      </c>
      <c r="AC8" s="192"/>
      <c r="AD8" s="200"/>
      <c r="AE8" s="200"/>
      <c r="AF8" s="200"/>
      <c r="AG8" s="7"/>
      <c r="AH8" s="7"/>
    </row>
    <row r="9" spans="1:34">
      <c r="A9" s="865"/>
      <c r="B9" s="188">
        <v>2</v>
      </c>
      <c r="C9" s="189">
        <v>0</v>
      </c>
      <c r="D9" s="865"/>
      <c r="E9" s="22"/>
      <c r="F9" s="23">
        <f t="shared" si="0"/>
        <v>1318.6666666666667</v>
      </c>
      <c r="G9" s="22">
        <v>720</v>
      </c>
      <c r="H9" s="22">
        <f t="shared" si="1"/>
        <v>0</v>
      </c>
      <c r="I9" s="869"/>
      <c r="J9" s="865"/>
      <c r="K9" s="190">
        <v>2</v>
      </c>
      <c r="L9" s="196"/>
      <c r="M9" s="196"/>
      <c r="N9" s="196">
        <v>540</v>
      </c>
      <c r="O9" s="196"/>
      <c r="P9" s="196">
        <v>1620</v>
      </c>
      <c r="Q9" s="196">
        <v>1080</v>
      </c>
      <c r="R9" s="196">
        <v>1080</v>
      </c>
      <c r="S9" s="196"/>
      <c r="T9" s="196">
        <v>7830</v>
      </c>
      <c r="U9" s="191"/>
      <c r="V9" s="191"/>
      <c r="W9" s="192"/>
      <c r="X9" s="196"/>
      <c r="Y9" s="201">
        <f>5940-5940</f>
        <v>0</v>
      </c>
      <c r="Z9" s="196"/>
      <c r="AA9" s="196"/>
      <c r="AB9" s="196">
        <v>0</v>
      </c>
      <c r="AC9" s="192"/>
      <c r="AD9" s="197"/>
      <c r="AE9" s="194"/>
      <c r="AF9" s="194"/>
      <c r="AG9" s="7"/>
      <c r="AH9" s="7"/>
    </row>
    <row r="10" spans="1:34">
      <c r="A10" s="865"/>
      <c r="B10" s="188" t="s">
        <v>124</v>
      </c>
      <c r="C10" s="189">
        <v>0</v>
      </c>
      <c r="D10" s="865"/>
      <c r="E10" s="22"/>
      <c r="F10" s="23">
        <f t="shared" si="0"/>
        <v>601.66666666666663</v>
      </c>
      <c r="G10" s="22">
        <v>600</v>
      </c>
      <c r="H10" s="22">
        <f t="shared" si="1"/>
        <v>0</v>
      </c>
      <c r="I10" s="869"/>
      <c r="J10" s="865"/>
      <c r="K10" s="190" t="s">
        <v>124</v>
      </c>
      <c r="L10" s="196">
        <v>2472</v>
      </c>
      <c r="M10" s="196"/>
      <c r="N10" s="196"/>
      <c r="O10" s="196"/>
      <c r="P10" s="196">
        <v>6368</v>
      </c>
      <c r="Q10" s="196">
        <v>4548</v>
      </c>
      <c r="R10" s="196">
        <v>2152</v>
      </c>
      <c r="S10" s="196">
        <v>3680</v>
      </c>
      <c r="T10" s="196">
        <v>8196</v>
      </c>
      <c r="U10" s="191">
        <v>4840</v>
      </c>
      <c r="V10" s="191"/>
      <c r="W10" s="192"/>
      <c r="X10" s="196"/>
      <c r="Y10" s="196"/>
      <c r="Z10" s="196"/>
      <c r="AA10" s="196"/>
      <c r="AB10" s="196">
        <v>0</v>
      </c>
      <c r="AC10" s="192"/>
      <c r="AD10" s="197"/>
      <c r="AE10" s="194"/>
      <c r="AF10" s="194"/>
      <c r="AG10" s="7"/>
      <c r="AH10" s="7"/>
    </row>
    <row r="11" spans="1:34">
      <c r="A11" s="866"/>
      <c r="B11" s="188">
        <v>3</v>
      </c>
      <c r="C11" s="189">
        <v>0</v>
      </c>
      <c r="D11" s="866"/>
      <c r="E11" s="22"/>
      <c r="F11" s="23">
        <f t="shared" si="0"/>
        <v>253</v>
      </c>
      <c r="G11" s="22">
        <v>144</v>
      </c>
      <c r="H11" s="22">
        <f t="shared" si="1"/>
        <v>0</v>
      </c>
      <c r="I11" s="869"/>
      <c r="J11" s="866"/>
      <c r="K11" s="190">
        <v>3</v>
      </c>
      <c r="L11" s="196"/>
      <c r="M11" s="196"/>
      <c r="N11" s="196">
        <v>1620</v>
      </c>
      <c r="O11" s="196">
        <v>270</v>
      </c>
      <c r="P11" s="196"/>
      <c r="Q11" s="196">
        <v>540</v>
      </c>
      <c r="R11" s="196"/>
      <c r="S11" s="196"/>
      <c r="T11" s="202">
        <f>3780+810</f>
        <v>4590</v>
      </c>
      <c r="U11" s="191"/>
      <c r="V11" s="191"/>
      <c r="W11" s="192"/>
      <c r="X11" s="196"/>
      <c r="Y11" s="196"/>
      <c r="Z11" s="196"/>
      <c r="AA11" s="196"/>
      <c r="AB11" s="196">
        <v>0</v>
      </c>
      <c r="AC11" s="192"/>
      <c r="AD11" s="197"/>
      <c r="AE11" s="194"/>
      <c r="AF11" s="194"/>
      <c r="AG11" s="7"/>
      <c r="AH11" s="7"/>
    </row>
    <row r="12" spans="1:34">
      <c r="A12" s="892" t="s">
        <v>32</v>
      </c>
      <c r="B12" s="203" t="s">
        <v>110</v>
      </c>
      <c r="C12" s="204">
        <v>0</v>
      </c>
      <c r="D12" s="899">
        <f>SUM(C12:C17)</f>
        <v>0</v>
      </c>
      <c r="E12" s="22">
        <f>D12/25</f>
        <v>0</v>
      </c>
      <c r="F12" s="23">
        <f t="shared" si="0"/>
        <v>2476</v>
      </c>
      <c r="G12" s="22">
        <v>1248</v>
      </c>
      <c r="H12" s="22">
        <f t="shared" si="1"/>
        <v>0</v>
      </c>
      <c r="I12" s="869"/>
      <c r="J12" s="892" t="s">
        <v>32</v>
      </c>
      <c r="K12" s="205" t="s">
        <v>110</v>
      </c>
      <c r="L12" s="196">
        <v>4224</v>
      </c>
      <c r="M12" s="196">
        <v>14076</v>
      </c>
      <c r="N12" s="196">
        <v>10364</v>
      </c>
      <c r="O12" s="196">
        <v>25824</v>
      </c>
      <c r="P12" s="196">
        <v>17036</v>
      </c>
      <c r="Q12" s="196">
        <v>4304</v>
      </c>
      <c r="R12" s="196"/>
      <c r="S12" s="196">
        <v>29184</v>
      </c>
      <c r="T12" s="196"/>
      <c r="U12" s="201">
        <v>1536</v>
      </c>
      <c r="V12" s="191"/>
      <c r="W12" s="192"/>
      <c r="X12" s="196"/>
      <c r="Y12" s="196"/>
      <c r="Z12" s="196"/>
      <c r="AA12" s="196"/>
      <c r="AB12" s="196">
        <f t="shared" ref="AB12:AB15" si="2">96*4*$C12</f>
        <v>0</v>
      </c>
      <c r="AC12" s="192"/>
      <c r="AD12" s="197"/>
      <c r="AE12" s="194"/>
      <c r="AF12" s="194"/>
      <c r="AG12" s="7"/>
      <c r="AH12" s="7"/>
    </row>
    <row r="13" spans="1:34">
      <c r="A13" s="865"/>
      <c r="B13" s="203">
        <v>1</v>
      </c>
      <c r="C13" s="204">
        <v>0</v>
      </c>
      <c r="D13" s="865"/>
      <c r="E13" s="22"/>
      <c r="F13" s="23">
        <f t="shared" si="0"/>
        <v>4865.666666666667</v>
      </c>
      <c r="G13" s="22">
        <v>1248</v>
      </c>
      <c r="H13" s="22">
        <f t="shared" si="1"/>
        <v>0</v>
      </c>
      <c r="I13" s="869"/>
      <c r="J13" s="865"/>
      <c r="K13" s="205">
        <v>1</v>
      </c>
      <c r="L13" s="196">
        <v>32988</v>
      </c>
      <c r="M13" s="196">
        <v>4608</v>
      </c>
      <c r="N13" s="196">
        <v>22656</v>
      </c>
      <c r="O13" s="196">
        <v>83564</v>
      </c>
      <c r="P13" s="196">
        <v>23448</v>
      </c>
      <c r="Q13" s="196"/>
      <c r="R13" s="196"/>
      <c r="S13" s="196">
        <v>30528</v>
      </c>
      <c r="T13" s="196"/>
      <c r="U13" s="201">
        <v>10368</v>
      </c>
      <c r="V13" s="191"/>
      <c r="W13" s="192"/>
      <c r="X13" s="196"/>
      <c r="Y13" s="196"/>
      <c r="Z13" s="196"/>
      <c r="AA13" s="196"/>
      <c r="AB13" s="196">
        <f t="shared" si="2"/>
        <v>0</v>
      </c>
      <c r="AC13" s="192"/>
      <c r="AD13" s="197"/>
      <c r="AE13" s="194"/>
      <c r="AF13" s="194"/>
      <c r="AG13" s="7"/>
      <c r="AH13" s="7"/>
    </row>
    <row r="14" spans="1:34">
      <c r="A14" s="865"/>
      <c r="B14" s="203">
        <v>2</v>
      </c>
      <c r="C14" s="204">
        <v>0</v>
      </c>
      <c r="D14" s="865"/>
      <c r="E14" s="22"/>
      <c r="F14" s="23">
        <f t="shared" si="0"/>
        <v>8297.3333333333339</v>
      </c>
      <c r="G14" s="22">
        <v>1632</v>
      </c>
      <c r="H14" s="22">
        <f t="shared" si="1"/>
        <v>0</v>
      </c>
      <c r="I14" s="869"/>
      <c r="J14" s="865"/>
      <c r="K14" s="205">
        <v>2</v>
      </c>
      <c r="L14" s="196">
        <v>13824</v>
      </c>
      <c r="M14" s="196">
        <v>45432</v>
      </c>
      <c r="N14" s="196">
        <v>43776</v>
      </c>
      <c r="O14" s="196">
        <v>38400</v>
      </c>
      <c r="P14" s="196">
        <v>21032</v>
      </c>
      <c r="Q14" s="196">
        <v>29628</v>
      </c>
      <c r="R14" s="196">
        <v>5660</v>
      </c>
      <c r="S14" s="196">
        <v>33124</v>
      </c>
      <c r="T14" s="196"/>
      <c r="U14" s="201">
        <v>14208</v>
      </c>
      <c r="V14" s="191"/>
      <c r="W14" s="192"/>
      <c r="X14" s="196"/>
      <c r="Y14" s="196"/>
      <c r="Z14" s="196"/>
      <c r="AA14" s="196"/>
      <c r="AB14" s="196">
        <f t="shared" si="2"/>
        <v>0</v>
      </c>
      <c r="AC14" s="192"/>
      <c r="AD14" s="197"/>
      <c r="AE14" s="194"/>
      <c r="AF14" s="194"/>
      <c r="AG14" s="7"/>
      <c r="AH14" s="7"/>
    </row>
    <row r="15" spans="1:34">
      <c r="A15" s="866"/>
      <c r="B15" s="203" t="s">
        <v>131</v>
      </c>
      <c r="C15" s="204">
        <v>0</v>
      </c>
      <c r="D15" s="865"/>
      <c r="E15" s="22"/>
      <c r="F15" s="23">
        <f t="shared" si="0"/>
        <v>1378</v>
      </c>
      <c r="G15" s="22"/>
      <c r="H15" s="22">
        <f t="shared" si="1"/>
        <v>0</v>
      </c>
      <c r="I15" s="869"/>
      <c r="J15" s="866"/>
      <c r="K15" s="205" t="s">
        <v>131</v>
      </c>
      <c r="L15" s="196">
        <v>384</v>
      </c>
      <c r="M15" s="196">
        <v>4736</v>
      </c>
      <c r="N15" s="196">
        <v>3236</v>
      </c>
      <c r="O15" s="196">
        <v>8744</v>
      </c>
      <c r="P15" s="196">
        <v>3624</v>
      </c>
      <c r="Q15" s="196">
        <v>2068</v>
      </c>
      <c r="R15" s="196">
        <v>3380</v>
      </c>
      <c r="S15" s="196">
        <v>1920</v>
      </c>
      <c r="T15" s="196"/>
      <c r="U15" s="201">
        <v>3456</v>
      </c>
      <c r="V15" s="191"/>
      <c r="W15" s="192"/>
      <c r="X15" s="196"/>
      <c r="Y15" s="196"/>
      <c r="Z15" s="196"/>
      <c r="AA15" s="196"/>
      <c r="AB15" s="196">
        <f t="shared" si="2"/>
        <v>0</v>
      </c>
      <c r="AC15" s="192"/>
      <c r="AD15" s="197"/>
      <c r="AE15" s="194"/>
      <c r="AF15" s="194"/>
      <c r="AG15" s="7"/>
      <c r="AH15" s="7"/>
    </row>
    <row r="16" spans="1:34">
      <c r="A16" s="893" t="s">
        <v>132</v>
      </c>
      <c r="B16" s="208" t="s">
        <v>133</v>
      </c>
      <c r="C16" s="209">
        <v>0</v>
      </c>
      <c r="D16" s="865"/>
      <c r="E16" s="22"/>
      <c r="F16" s="23">
        <f t="shared" si="0"/>
        <v>215.33333333333334</v>
      </c>
      <c r="G16" s="22"/>
      <c r="H16" s="22">
        <f t="shared" si="1"/>
        <v>0</v>
      </c>
      <c r="I16" s="869"/>
      <c r="J16" s="893" t="s">
        <v>132</v>
      </c>
      <c r="K16" s="210" t="s">
        <v>133</v>
      </c>
      <c r="L16" s="211"/>
      <c r="M16" s="117">
        <v>1008</v>
      </c>
      <c r="N16" s="117"/>
      <c r="O16" s="117"/>
      <c r="P16" s="117"/>
      <c r="Q16" s="117"/>
      <c r="R16" s="117"/>
      <c r="S16" s="117"/>
      <c r="T16" s="117"/>
      <c r="U16" s="202">
        <v>3024</v>
      </c>
      <c r="V16" s="191"/>
      <c r="W16" s="212"/>
      <c r="X16" s="117"/>
      <c r="Y16" s="117"/>
      <c r="Z16" s="117"/>
      <c r="AA16" s="117"/>
      <c r="AB16" s="117">
        <f t="shared" ref="AB16:AB17" si="3">42*24*$C16</f>
        <v>0</v>
      </c>
      <c r="AC16" s="212"/>
      <c r="AD16" s="197"/>
      <c r="AE16" s="213"/>
      <c r="AF16" s="213"/>
      <c r="AG16" s="7"/>
      <c r="AH16" s="7"/>
    </row>
    <row r="17" spans="1:34">
      <c r="A17" s="866"/>
      <c r="B17" s="208" t="s">
        <v>134</v>
      </c>
      <c r="C17" s="209">
        <v>0</v>
      </c>
      <c r="D17" s="866"/>
      <c r="E17" s="22"/>
      <c r="F17" s="23">
        <f t="shared" si="0"/>
        <v>205.33333333333334</v>
      </c>
      <c r="G17" s="22"/>
      <c r="H17" s="22">
        <f t="shared" si="1"/>
        <v>0</v>
      </c>
      <c r="I17" s="869"/>
      <c r="J17" s="866"/>
      <c r="K17" s="210" t="s">
        <v>134</v>
      </c>
      <c r="L17" s="211"/>
      <c r="M17" s="211"/>
      <c r="N17" s="117">
        <v>1008</v>
      </c>
      <c r="O17" s="117">
        <v>1008</v>
      </c>
      <c r="P17" s="117"/>
      <c r="Q17" s="117"/>
      <c r="R17" s="117"/>
      <c r="S17" s="117"/>
      <c r="T17" s="117"/>
      <c r="U17" s="191"/>
      <c r="V17" s="191"/>
      <c r="W17" s="212"/>
      <c r="X17" s="117"/>
      <c r="Y17" s="117"/>
      <c r="Z17" s="117"/>
      <c r="AA17" s="214">
        <v>1008</v>
      </c>
      <c r="AB17" s="117">
        <f t="shared" si="3"/>
        <v>0</v>
      </c>
      <c r="AC17" s="215"/>
      <c r="AD17" s="216"/>
      <c r="AE17" s="213"/>
      <c r="AF17" s="213"/>
      <c r="AG17" s="7"/>
      <c r="AH17" s="7"/>
    </row>
    <row r="18" spans="1:34" ht="15.75" customHeight="1">
      <c r="A18" s="178"/>
      <c r="B18" s="178"/>
      <c r="C18" s="178"/>
      <c r="D18" s="178"/>
      <c r="E18" s="178"/>
      <c r="F18" s="178"/>
      <c r="G18" s="178"/>
      <c r="H18" s="178"/>
      <c r="I18" s="869"/>
      <c r="J18" s="895" t="s">
        <v>135</v>
      </c>
      <c r="K18" s="217" t="s">
        <v>136</v>
      </c>
      <c r="L18" s="211"/>
      <c r="M18" s="211"/>
      <c r="N18" s="117">
        <v>3432</v>
      </c>
      <c r="O18" s="117"/>
      <c r="P18" s="117">
        <v>3432</v>
      </c>
      <c r="Q18" s="117">
        <v>6864</v>
      </c>
      <c r="R18" s="117"/>
      <c r="S18" s="117"/>
      <c r="T18" s="117"/>
      <c r="U18" s="218">
        <v>3432</v>
      </c>
      <c r="V18" s="218"/>
      <c r="W18" s="219"/>
      <c r="X18" s="220"/>
      <c r="Y18" s="117"/>
      <c r="Z18" s="117"/>
      <c r="AA18" s="117"/>
      <c r="AB18" s="117">
        <v>3432</v>
      </c>
      <c r="AC18" s="221"/>
      <c r="AD18" s="222"/>
      <c r="AE18" s="213"/>
      <c r="AF18" s="213"/>
      <c r="AG18" s="7"/>
      <c r="AH18" s="7"/>
    </row>
    <row r="19" spans="1:34">
      <c r="A19" s="178"/>
      <c r="B19" s="1"/>
      <c r="C19" s="178"/>
      <c r="D19" s="178"/>
      <c r="E19" s="178"/>
      <c r="F19" s="178"/>
      <c r="G19" s="178"/>
      <c r="H19" s="178"/>
      <c r="I19" s="869"/>
      <c r="J19" s="865"/>
      <c r="K19" s="217" t="s">
        <v>137</v>
      </c>
      <c r="L19" s="211"/>
      <c r="M19" s="211"/>
      <c r="N19" s="117">
        <v>3432</v>
      </c>
      <c r="O19" s="117"/>
      <c r="P19" s="117">
        <v>3432</v>
      </c>
      <c r="Q19" s="117">
        <v>6864</v>
      </c>
      <c r="R19" s="117"/>
      <c r="S19" s="117"/>
      <c r="T19" s="117"/>
      <c r="U19" s="218">
        <v>3432</v>
      </c>
      <c r="V19" s="218"/>
      <c r="W19" s="212"/>
      <c r="X19" s="220"/>
      <c r="Y19" s="117"/>
      <c r="Z19" s="117"/>
      <c r="AA19" s="117"/>
      <c r="AB19" s="117">
        <v>3432</v>
      </c>
      <c r="AC19" s="117"/>
      <c r="AD19" s="212"/>
      <c r="AE19" s="213"/>
      <c r="AF19" s="213"/>
      <c r="AG19" s="7"/>
      <c r="AH19" s="7"/>
    </row>
    <row r="20" spans="1:34" ht="15.75" customHeight="1">
      <c r="A20" s="178"/>
      <c r="B20" s="178"/>
      <c r="C20" s="178"/>
      <c r="D20" s="178"/>
      <c r="E20" s="178"/>
      <c r="F20" s="178"/>
      <c r="G20" s="178"/>
      <c r="H20" s="178"/>
      <c r="I20" s="869"/>
      <c r="J20" s="865"/>
      <c r="K20" s="217" t="s">
        <v>138</v>
      </c>
      <c r="L20" s="211"/>
      <c r="M20" s="211"/>
      <c r="N20" s="117">
        <v>3432</v>
      </c>
      <c r="O20" s="117"/>
      <c r="P20" s="117">
        <v>3432</v>
      </c>
      <c r="Q20" s="117"/>
      <c r="R20" s="117"/>
      <c r="S20" s="117"/>
      <c r="T20" s="117"/>
      <c r="U20" s="218">
        <v>3432</v>
      </c>
      <c r="V20" s="218"/>
      <c r="W20" s="212"/>
      <c r="X20" s="220"/>
      <c r="Y20" s="117"/>
      <c r="Z20" s="117"/>
      <c r="AA20" s="117"/>
      <c r="AB20" s="117">
        <v>6864</v>
      </c>
      <c r="AC20" s="117"/>
      <c r="AD20" s="212"/>
      <c r="AE20" s="213"/>
      <c r="AF20" s="213"/>
      <c r="AG20" s="7"/>
      <c r="AH20" s="7"/>
    </row>
    <row r="21" spans="1:34" ht="15.75" customHeight="1">
      <c r="A21" s="178"/>
      <c r="B21" s="178"/>
      <c r="C21" s="178"/>
      <c r="D21" s="178"/>
      <c r="E21" s="178"/>
      <c r="F21" s="178"/>
      <c r="G21" s="178"/>
      <c r="H21" s="178"/>
      <c r="I21" s="869"/>
      <c r="J21" s="866"/>
      <c r="K21" s="217" t="s">
        <v>139</v>
      </c>
      <c r="L21" s="211"/>
      <c r="M21" s="211"/>
      <c r="N21" s="117">
        <v>3432</v>
      </c>
      <c r="O21" s="117"/>
      <c r="P21" s="117">
        <v>3432</v>
      </c>
      <c r="Q21" s="117"/>
      <c r="R21" s="117"/>
      <c r="S21" s="117"/>
      <c r="T21" s="117"/>
      <c r="U21" s="218">
        <v>3432</v>
      </c>
      <c r="V21" s="218"/>
      <c r="W21" s="212"/>
      <c r="X21" s="220"/>
      <c r="Y21" s="117"/>
      <c r="Z21" s="117"/>
      <c r="AA21" s="117"/>
      <c r="AB21" s="117">
        <v>6864</v>
      </c>
      <c r="AC21" s="117"/>
      <c r="AD21" s="215"/>
      <c r="AE21" s="213"/>
      <c r="AF21" s="213"/>
      <c r="AG21" s="7"/>
      <c r="AH21" s="7"/>
    </row>
    <row r="22" spans="1:34" ht="15.75" customHeight="1">
      <c r="A22" s="178"/>
      <c r="B22" s="178"/>
      <c r="C22" s="178"/>
      <c r="D22" s="178"/>
      <c r="E22" s="178"/>
      <c r="F22" s="178"/>
      <c r="G22" s="178"/>
      <c r="H22" s="178"/>
      <c r="I22" s="869"/>
      <c r="J22" s="889" t="s">
        <v>38</v>
      </c>
      <c r="K22" s="860"/>
      <c r="L22" s="224">
        <f t="shared" ref="L22:AF22" si="4">SUM(L6:L21)</f>
        <v>59328</v>
      </c>
      <c r="M22" s="224">
        <f t="shared" si="4"/>
        <v>69860</v>
      </c>
      <c r="N22" s="224">
        <f t="shared" si="4"/>
        <v>99628</v>
      </c>
      <c r="O22" s="224">
        <f t="shared" si="4"/>
        <v>163492</v>
      </c>
      <c r="P22" s="224">
        <f t="shared" si="4"/>
        <v>98046</v>
      </c>
      <c r="Q22" s="224">
        <f t="shared" si="4"/>
        <v>58656</v>
      </c>
      <c r="R22" s="224">
        <f t="shared" si="4"/>
        <v>14162</v>
      </c>
      <c r="S22" s="224">
        <f t="shared" si="4"/>
        <v>101916</v>
      </c>
      <c r="T22" s="224">
        <f t="shared" si="4"/>
        <v>29256</v>
      </c>
      <c r="U22" s="224">
        <f t="shared" si="4"/>
        <v>51160</v>
      </c>
      <c r="V22" s="224">
        <f t="shared" si="4"/>
        <v>0</v>
      </c>
      <c r="W22" s="225">
        <f t="shared" si="4"/>
        <v>0</v>
      </c>
      <c r="X22" s="226">
        <f t="shared" si="4"/>
        <v>7248</v>
      </c>
      <c r="Y22" s="224">
        <f t="shared" si="4"/>
        <v>0</v>
      </c>
      <c r="Z22" s="224">
        <f t="shared" si="4"/>
        <v>0</v>
      </c>
      <c r="AA22" s="224">
        <f t="shared" si="4"/>
        <v>1008</v>
      </c>
      <c r="AB22" s="224">
        <f t="shared" si="4"/>
        <v>20592</v>
      </c>
      <c r="AC22" s="224">
        <f t="shared" si="4"/>
        <v>0</v>
      </c>
      <c r="AD22" s="227">
        <f t="shared" si="4"/>
        <v>0</v>
      </c>
      <c r="AE22" s="228">
        <f t="shared" si="4"/>
        <v>0</v>
      </c>
      <c r="AF22" s="228">
        <f t="shared" si="4"/>
        <v>0</v>
      </c>
      <c r="AG22" s="7"/>
      <c r="AH22" s="7"/>
    </row>
    <row r="23" spans="1:34" ht="15.75" customHeight="1">
      <c r="A23" s="178"/>
      <c r="B23" s="178"/>
      <c r="C23" s="178"/>
      <c r="D23" s="178"/>
      <c r="E23" s="178"/>
      <c r="F23" s="178"/>
      <c r="G23" s="178"/>
      <c r="H23" s="178"/>
      <c r="I23" s="869"/>
      <c r="J23" s="889" t="s">
        <v>39</v>
      </c>
      <c r="K23" s="860"/>
      <c r="L23" s="224">
        <f>금액!E34</f>
        <v>1131080.52</v>
      </c>
      <c r="M23" s="224">
        <f>금액!F34</f>
        <v>1283335.2</v>
      </c>
      <c r="N23" s="224">
        <f>금액!G34</f>
        <v>1628142.52</v>
      </c>
      <c r="O23" s="224">
        <f>금액!H34</f>
        <v>3034407.52</v>
      </c>
      <c r="P23" s="224">
        <f>금액!I34</f>
        <v>1526571.14</v>
      </c>
      <c r="Q23" s="224">
        <f>금액!J34</f>
        <v>827218.72000000009</v>
      </c>
      <c r="R23" s="224">
        <f>금액!K34</f>
        <v>187967.86</v>
      </c>
      <c r="S23" s="224">
        <f>금액!L34</f>
        <v>1951046.48</v>
      </c>
      <c r="T23" s="224">
        <f>금액!M34</f>
        <v>506087.28</v>
      </c>
      <c r="U23" s="224">
        <f>금액!N34</f>
        <v>646481.04000000015</v>
      </c>
      <c r="V23" s="224">
        <f>금액!O34</f>
        <v>0</v>
      </c>
      <c r="W23" s="225">
        <f>금액!P34</f>
        <v>0</v>
      </c>
      <c r="X23" s="226">
        <f>금액!Q34</f>
        <v>0</v>
      </c>
      <c r="Y23" s="224">
        <f>금액!R34</f>
        <v>0</v>
      </c>
      <c r="Z23" s="224">
        <f>금액!S34</f>
        <v>0</v>
      </c>
      <c r="AA23" s="224">
        <f>금액!T34</f>
        <v>8709.1200000000008</v>
      </c>
      <c r="AB23" s="224">
        <f>금액!U34</f>
        <v>31711.68</v>
      </c>
      <c r="AC23" s="224">
        <f>금액!V34</f>
        <v>0</v>
      </c>
      <c r="AD23" s="228">
        <f>금액!W34</f>
        <v>0</v>
      </c>
      <c r="AE23" s="228">
        <f>금액!X34</f>
        <v>0</v>
      </c>
      <c r="AF23" s="228">
        <f>금액!Y34</f>
        <v>0</v>
      </c>
      <c r="AG23" s="7"/>
      <c r="AH23" s="7"/>
    </row>
    <row r="24" spans="1:34" ht="15.75" customHeight="1">
      <c r="A24" s="178"/>
      <c r="B24" s="178"/>
      <c r="C24" s="178"/>
      <c r="D24" s="178"/>
      <c r="E24" s="178"/>
      <c r="F24" s="178"/>
      <c r="G24" s="178"/>
      <c r="H24" s="178"/>
      <c r="I24" s="870"/>
      <c r="J24" s="889" t="s">
        <v>40</v>
      </c>
      <c r="K24" s="860"/>
      <c r="L24" s="224">
        <f t="shared" ref="L24:AF24" si="5">L23*$I$4</f>
        <v>1979390910</v>
      </c>
      <c r="M24" s="224">
        <f t="shared" si="5"/>
        <v>2245836600</v>
      </c>
      <c r="N24" s="224">
        <f t="shared" si="5"/>
        <v>2849249410</v>
      </c>
      <c r="O24" s="224">
        <f t="shared" si="5"/>
        <v>5310213160</v>
      </c>
      <c r="P24" s="224">
        <f t="shared" si="5"/>
        <v>2671499495</v>
      </c>
      <c r="Q24" s="224">
        <f t="shared" si="5"/>
        <v>1447632760.0000002</v>
      </c>
      <c r="R24" s="224">
        <f t="shared" si="5"/>
        <v>328943755</v>
      </c>
      <c r="S24" s="224">
        <f t="shared" si="5"/>
        <v>3414331340</v>
      </c>
      <c r="T24" s="224">
        <f t="shared" si="5"/>
        <v>885652740</v>
      </c>
      <c r="U24" s="224">
        <f t="shared" si="5"/>
        <v>1131341820.0000002</v>
      </c>
      <c r="V24" s="224">
        <f t="shared" si="5"/>
        <v>0</v>
      </c>
      <c r="W24" s="232">
        <f t="shared" si="5"/>
        <v>0</v>
      </c>
      <c r="X24" s="226">
        <f t="shared" si="5"/>
        <v>0</v>
      </c>
      <c r="Y24" s="224">
        <f t="shared" si="5"/>
        <v>0</v>
      </c>
      <c r="Z24" s="224">
        <f t="shared" si="5"/>
        <v>0</v>
      </c>
      <c r="AA24" s="224">
        <f t="shared" si="5"/>
        <v>15240960.000000002</v>
      </c>
      <c r="AB24" s="224">
        <f t="shared" si="5"/>
        <v>55495440</v>
      </c>
      <c r="AC24" s="224">
        <f t="shared" si="5"/>
        <v>0</v>
      </c>
      <c r="AD24" s="228">
        <f t="shared" si="5"/>
        <v>0</v>
      </c>
      <c r="AE24" s="228">
        <f t="shared" si="5"/>
        <v>0</v>
      </c>
      <c r="AF24" s="228">
        <f t="shared" si="5"/>
        <v>0</v>
      </c>
      <c r="AG24" s="7"/>
      <c r="AH24" s="7"/>
    </row>
    <row r="25" spans="1:34" ht="15.75" customHeight="1">
      <c r="A25" s="178"/>
      <c r="B25" s="178"/>
      <c r="C25" s="178"/>
      <c r="D25" s="178"/>
      <c r="E25" s="178"/>
      <c r="F25" s="178"/>
      <c r="G25" s="178"/>
      <c r="H25" s="178"/>
      <c r="I25" s="235"/>
      <c r="J25" s="236"/>
      <c r="K25" s="236"/>
      <c r="AG25" s="7"/>
      <c r="AH25" s="7"/>
    </row>
    <row r="26" spans="1:34" ht="15.75" customHeight="1">
      <c r="B26" s="178"/>
      <c r="C26" s="178"/>
      <c r="D26" s="178"/>
      <c r="E26" s="178"/>
      <c r="F26" s="178"/>
      <c r="G26" s="178"/>
      <c r="H26" s="178"/>
      <c r="I26" s="235"/>
      <c r="J26" s="236"/>
      <c r="K26" s="236"/>
      <c r="L26" s="237" t="s">
        <v>41</v>
      </c>
      <c r="M26" s="237" t="s">
        <v>41</v>
      </c>
      <c r="N26" s="237" t="s">
        <v>41</v>
      </c>
      <c r="O26" s="76" t="s">
        <v>41</v>
      </c>
      <c r="P26" s="76" t="s">
        <v>41</v>
      </c>
      <c r="Q26" s="76" t="s">
        <v>41</v>
      </c>
      <c r="R26" s="76" t="s">
        <v>41</v>
      </c>
      <c r="S26" s="76" t="s">
        <v>41</v>
      </c>
      <c r="T26" s="76" t="s">
        <v>41</v>
      </c>
      <c r="U26" s="76" t="s">
        <v>41</v>
      </c>
      <c r="V26" s="76" t="s">
        <v>41</v>
      </c>
      <c r="W26" s="76" t="s">
        <v>41</v>
      </c>
      <c r="X26" s="77" t="s">
        <v>42</v>
      </c>
      <c r="Y26" s="77" t="s">
        <v>42</v>
      </c>
      <c r="Z26" s="77" t="s">
        <v>42</v>
      </c>
      <c r="AA26" s="77" t="s">
        <v>42</v>
      </c>
      <c r="AB26" s="77" t="s">
        <v>42</v>
      </c>
      <c r="AC26" s="77" t="s">
        <v>42</v>
      </c>
      <c r="AD26" s="77" t="s">
        <v>42</v>
      </c>
      <c r="AE26" s="77" t="s">
        <v>42</v>
      </c>
      <c r="AF26" s="77" t="s">
        <v>42</v>
      </c>
      <c r="AG26" s="7"/>
      <c r="AH26" s="7"/>
    </row>
    <row r="27" spans="1:34" ht="15.75" customHeight="1" outlineLevel="1">
      <c r="B27" s="178"/>
      <c r="C27" s="178"/>
      <c r="D27" s="178"/>
      <c r="E27" s="178"/>
      <c r="F27" s="178"/>
      <c r="G27" s="178"/>
      <c r="H27" s="178"/>
      <c r="I27" s="890" t="s">
        <v>43</v>
      </c>
      <c r="J27" s="879"/>
      <c r="K27" s="860"/>
      <c r="L27" s="103" t="s">
        <v>14</v>
      </c>
      <c r="M27" s="103" t="s">
        <v>15</v>
      </c>
      <c r="N27" s="103" t="s">
        <v>16</v>
      </c>
      <c r="O27" s="238" t="s">
        <v>17</v>
      </c>
      <c r="P27" s="103" t="s">
        <v>18</v>
      </c>
      <c r="Q27" s="103" t="s">
        <v>19</v>
      </c>
      <c r="R27" s="103" t="s">
        <v>20</v>
      </c>
      <c r="S27" s="103" t="s">
        <v>21</v>
      </c>
      <c r="T27" s="103" t="s">
        <v>22</v>
      </c>
      <c r="U27" s="103" t="s">
        <v>23</v>
      </c>
      <c r="V27" s="103" t="s">
        <v>107</v>
      </c>
      <c r="W27" s="239" t="s">
        <v>25</v>
      </c>
      <c r="X27" s="103" t="s">
        <v>26</v>
      </c>
      <c r="Y27" s="103" t="s">
        <v>15</v>
      </c>
      <c r="Z27" s="103" t="s">
        <v>16</v>
      </c>
      <c r="AA27" s="103" t="s">
        <v>17</v>
      </c>
      <c r="AB27" s="103" t="s">
        <v>18</v>
      </c>
      <c r="AC27" s="239" t="s">
        <v>19</v>
      </c>
      <c r="AD27" s="240" t="s">
        <v>20</v>
      </c>
      <c r="AE27" s="240" t="s">
        <v>21</v>
      </c>
      <c r="AF27" s="240" t="s">
        <v>22</v>
      </c>
      <c r="AG27" s="7"/>
      <c r="AH27" s="7"/>
    </row>
    <row r="28" spans="1:34" ht="15.75" customHeight="1" outlineLevel="1">
      <c r="B28" s="178"/>
      <c r="C28" s="178"/>
      <c r="D28" s="178"/>
      <c r="E28" s="178"/>
      <c r="F28" s="178"/>
      <c r="G28" s="178"/>
      <c r="H28" s="178"/>
      <c r="I28" s="910" t="s">
        <v>44</v>
      </c>
      <c r="J28" s="891" t="s">
        <v>27</v>
      </c>
      <c r="K28" s="190" t="s">
        <v>110</v>
      </c>
      <c r="L28" s="116">
        <v>710</v>
      </c>
      <c r="M28" s="116">
        <v>487</v>
      </c>
      <c r="N28" s="116">
        <v>633</v>
      </c>
      <c r="O28" s="116">
        <v>710</v>
      </c>
      <c r="P28" s="116">
        <v>557</v>
      </c>
      <c r="Q28" s="116">
        <v>197</v>
      </c>
      <c r="R28" s="116">
        <v>158</v>
      </c>
      <c r="S28" s="116">
        <v>126</v>
      </c>
      <c r="T28" s="116">
        <v>84</v>
      </c>
      <c r="U28" s="116">
        <v>139</v>
      </c>
      <c r="V28" s="116">
        <v>142</v>
      </c>
      <c r="W28" s="127">
        <v>199</v>
      </c>
      <c r="X28" s="116">
        <v>154</v>
      </c>
      <c r="Y28" s="116">
        <v>151</v>
      </c>
      <c r="Z28" s="116">
        <v>175</v>
      </c>
      <c r="AA28" s="116">
        <v>199</v>
      </c>
      <c r="AB28" s="116">
        <v>223</v>
      </c>
      <c r="AC28" s="127">
        <v>243</v>
      </c>
      <c r="AD28" s="213">
        <v>258</v>
      </c>
      <c r="AE28" s="213">
        <v>270</v>
      </c>
      <c r="AF28" s="213">
        <v>281</v>
      </c>
      <c r="AG28" s="7"/>
      <c r="AH28" s="7"/>
    </row>
    <row r="29" spans="1:34" ht="15.75" customHeight="1" outlineLevel="1">
      <c r="B29" s="178"/>
      <c r="C29" s="178"/>
      <c r="D29" s="178"/>
      <c r="E29" s="178"/>
      <c r="F29" s="178"/>
      <c r="G29" s="178"/>
      <c r="H29" s="178"/>
      <c r="I29" s="865"/>
      <c r="J29" s="865"/>
      <c r="K29" s="190">
        <v>1</v>
      </c>
      <c r="L29" s="116">
        <v>2121</v>
      </c>
      <c r="M29" s="116">
        <v>1299</v>
      </c>
      <c r="N29" s="116">
        <v>886</v>
      </c>
      <c r="O29" s="116">
        <v>1736</v>
      </c>
      <c r="P29" s="116">
        <v>1721</v>
      </c>
      <c r="Q29" s="116">
        <v>686</v>
      </c>
      <c r="R29" s="116">
        <v>674</v>
      </c>
      <c r="S29" s="116">
        <v>813</v>
      </c>
      <c r="T29" s="116">
        <v>747</v>
      </c>
      <c r="U29" s="116">
        <v>726</v>
      </c>
      <c r="V29" s="116">
        <v>638</v>
      </c>
      <c r="W29" s="127">
        <v>842</v>
      </c>
      <c r="X29" s="116">
        <v>664</v>
      </c>
      <c r="Y29" s="116">
        <v>657</v>
      </c>
      <c r="Z29" s="116">
        <v>697</v>
      </c>
      <c r="AA29" s="116">
        <v>731</v>
      </c>
      <c r="AB29" s="116">
        <v>761</v>
      </c>
      <c r="AC29" s="127">
        <v>783</v>
      </c>
      <c r="AD29" s="213">
        <v>799</v>
      </c>
      <c r="AE29" s="213">
        <v>823</v>
      </c>
      <c r="AF29" s="213">
        <v>840</v>
      </c>
      <c r="AG29" s="7"/>
      <c r="AH29" s="7"/>
    </row>
    <row r="30" spans="1:34" ht="15.75" customHeight="1" outlineLevel="1">
      <c r="B30" s="178"/>
      <c r="C30" s="178"/>
      <c r="D30" s="178"/>
      <c r="E30" s="178"/>
      <c r="F30" s="178"/>
      <c r="G30" s="178"/>
      <c r="H30" s="178"/>
      <c r="I30" s="865"/>
      <c r="J30" s="865"/>
      <c r="K30" s="190" t="s">
        <v>119</v>
      </c>
      <c r="L30" s="116">
        <v>2606</v>
      </c>
      <c r="M30" s="116">
        <v>2088</v>
      </c>
      <c r="N30" s="116">
        <v>1780</v>
      </c>
      <c r="O30" s="116">
        <v>1748</v>
      </c>
      <c r="P30" s="116">
        <v>1404</v>
      </c>
      <c r="Q30" s="116">
        <v>160</v>
      </c>
      <c r="R30" s="116">
        <v>0.1</v>
      </c>
      <c r="S30" s="116">
        <v>100</v>
      </c>
      <c r="T30" s="116">
        <v>297</v>
      </c>
      <c r="U30" s="116">
        <v>290</v>
      </c>
      <c r="V30" s="116">
        <v>300</v>
      </c>
      <c r="W30" s="127">
        <v>340</v>
      </c>
      <c r="X30" s="116">
        <v>424</v>
      </c>
      <c r="Y30" s="116">
        <v>399</v>
      </c>
      <c r="Z30" s="116">
        <v>427</v>
      </c>
      <c r="AA30" s="116">
        <v>440</v>
      </c>
      <c r="AB30" s="116">
        <v>404</v>
      </c>
      <c r="AC30" s="127">
        <v>413</v>
      </c>
      <c r="AD30" s="213">
        <v>499</v>
      </c>
      <c r="AE30" s="213">
        <v>634</v>
      </c>
      <c r="AF30" s="213">
        <v>666</v>
      </c>
      <c r="AG30" s="7"/>
      <c r="AH30" s="7"/>
    </row>
    <row r="31" spans="1:34" ht="15.75" customHeight="1" outlineLevel="1">
      <c r="B31" s="178"/>
      <c r="C31" s="178"/>
      <c r="D31" s="178"/>
      <c r="E31" s="178"/>
      <c r="F31" s="178"/>
      <c r="G31" s="178"/>
      <c r="H31" s="178"/>
      <c r="I31" s="865"/>
      <c r="J31" s="865"/>
      <c r="K31" s="190">
        <v>2</v>
      </c>
      <c r="L31" s="116">
        <v>1440</v>
      </c>
      <c r="M31" s="116">
        <v>1250</v>
      </c>
      <c r="N31" s="116">
        <v>1781</v>
      </c>
      <c r="O31" s="116">
        <v>1637</v>
      </c>
      <c r="P31" s="116">
        <v>1868</v>
      </c>
      <c r="Q31" s="116">
        <v>851</v>
      </c>
      <c r="R31" s="116">
        <v>1019</v>
      </c>
      <c r="S31" s="116">
        <v>1413</v>
      </c>
      <c r="T31" s="116">
        <v>1345</v>
      </c>
      <c r="U31" s="116">
        <v>1198</v>
      </c>
      <c r="V31" s="116">
        <v>1151</v>
      </c>
      <c r="W31" s="127">
        <v>910</v>
      </c>
      <c r="X31" s="116">
        <v>1209</v>
      </c>
      <c r="Y31" s="116">
        <v>1185</v>
      </c>
      <c r="Z31" s="116">
        <v>1232</v>
      </c>
      <c r="AA31" s="116">
        <v>1269</v>
      </c>
      <c r="AB31" s="116">
        <v>1257</v>
      </c>
      <c r="AC31" s="127">
        <v>1219</v>
      </c>
      <c r="AD31" s="213">
        <v>1402</v>
      </c>
      <c r="AE31" s="213">
        <v>1486</v>
      </c>
      <c r="AF31" s="213">
        <v>1531</v>
      </c>
      <c r="AG31" s="7"/>
      <c r="AH31" s="7"/>
    </row>
    <row r="32" spans="1:34" ht="15.75" customHeight="1" outlineLevel="1">
      <c r="B32" s="178"/>
      <c r="C32" s="178"/>
      <c r="D32" s="178"/>
      <c r="E32" s="178"/>
      <c r="F32" s="178"/>
      <c r="G32" s="178"/>
      <c r="H32" s="178"/>
      <c r="I32" s="865"/>
      <c r="J32" s="865"/>
      <c r="K32" s="190" t="s">
        <v>124</v>
      </c>
      <c r="L32" s="116">
        <v>2581</v>
      </c>
      <c r="M32" s="116">
        <v>2257</v>
      </c>
      <c r="N32" s="116">
        <v>1933</v>
      </c>
      <c r="O32" s="116">
        <v>2237</v>
      </c>
      <c r="P32" s="116">
        <v>1848</v>
      </c>
      <c r="Q32" s="116">
        <v>808</v>
      </c>
      <c r="R32" s="116">
        <v>694</v>
      </c>
      <c r="S32" s="116">
        <v>636</v>
      </c>
      <c r="T32" s="116">
        <v>592</v>
      </c>
      <c r="U32" s="116">
        <v>577</v>
      </c>
      <c r="V32" s="116">
        <v>577</v>
      </c>
      <c r="W32" s="127">
        <v>513</v>
      </c>
      <c r="X32" s="116">
        <v>544</v>
      </c>
      <c r="Y32" s="116">
        <v>522</v>
      </c>
      <c r="Z32" s="116">
        <v>590</v>
      </c>
      <c r="AA32" s="116">
        <v>625</v>
      </c>
      <c r="AB32" s="116">
        <v>613</v>
      </c>
      <c r="AC32" s="127">
        <v>601</v>
      </c>
      <c r="AD32" s="213">
        <v>679</v>
      </c>
      <c r="AE32" s="213">
        <v>794</v>
      </c>
      <c r="AF32" s="213">
        <v>818</v>
      </c>
      <c r="AG32" s="7"/>
      <c r="AH32" s="7"/>
    </row>
    <row r="33" spans="1:34" ht="15.75" customHeight="1" outlineLevel="1">
      <c r="B33" s="178"/>
      <c r="C33" s="178"/>
      <c r="D33" s="178"/>
      <c r="E33" s="178"/>
      <c r="F33" s="178"/>
      <c r="G33" s="178"/>
      <c r="H33" s="178"/>
      <c r="I33" s="865"/>
      <c r="J33" s="866"/>
      <c r="K33" s="190">
        <v>3</v>
      </c>
      <c r="L33" s="116">
        <v>669</v>
      </c>
      <c r="M33" s="116">
        <v>29</v>
      </c>
      <c r="N33" s="116">
        <v>431</v>
      </c>
      <c r="O33" s="116">
        <v>602</v>
      </c>
      <c r="P33" s="116">
        <v>559</v>
      </c>
      <c r="Q33" s="116">
        <v>85</v>
      </c>
      <c r="R33" s="116">
        <v>297</v>
      </c>
      <c r="S33" s="116">
        <v>240</v>
      </c>
      <c r="T33" s="116">
        <v>225</v>
      </c>
      <c r="U33" s="116">
        <v>294</v>
      </c>
      <c r="V33" s="116">
        <v>311</v>
      </c>
      <c r="W33" s="127">
        <v>402</v>
      </c>
      <c r="X33" s="116">
        <v>320</v>
      </c>
      <c r="Y33" s="116">
        <v>324</v>
      </c>
      <c r="Z33" s="116">
        <v>330</v>
      </c>
      <c r="AA33" s="116">
        <v>337</v>
      </c>
      <c r="AB33" s="116">
        <v>340</v>
      </c>
      <c r="AC33" s="127">
        <v>347</v>
      </c>
      <c r="AD33" s="213">
        <v>350</v>
      </c>
      <c r="AE33" s="213">
        <v>357</v>
      </c>
      <c r="AF33" s="213">
        <v>364</v>
      </c>
      <c r="AG33" s="7"/>
      <c r="AH33" s="7"/>
    </row>
    <row r="34" spans="1:34" ht="15.75" customHeight="1" outlineLevel="1">
      <c r="B34" s="178"/>
      <c r="C34" s="178"/>
      <c r="D34" s="178"/>
      <c r="E34" s="178"/>
      <c r="F34" s="178"/>
      <c r="G34" s="178"/>
      <c r="H34" s="178"/>
      <c r="I34" s="865"/>
      <c r="J34" s="892" t="s">
        <v>32</v>
      </c>
      <c r="K34" s="205" t="s">
        <v>110</v>
      </c>
      <c r="L34" s="116">
        <v>9688</v>
      </c>
      <c r="M34" s="116">
        <v>8381</v>
      </c>
      <c r="N34" s="116">
        <v>10566</v>
      </c>
      <c r="O34" s="116">
        <v>12615</v>
      </c>
      <c r="P34" s="116">
        <v>11494</v>
      </c>
      <c r="Q34" s="116">
        <v>4054</v>
      </c>
      <c r="R34" s="116">
        <v>2492</v>
      </c>
      <c r="S34" s="116">
        <v>2360</v>
      </c>
      <c r="T34" s="116">
        <v>2541</v>
      </c>
      <c r="U34" s="117">
        <v>2527</v>
      </c>
      <c r="V34" s="117">
        <v>2561</v>
      </c>
      <c r="W34" s="127">
        <v>2514</v>
      </c>
      <c r="X34" s="117">
        <v>2665</v>
      </c>
      <c r="Y34" s="117">
        <v>2612</v>
      </c>
      <c r="Z34" s="117">
        <v>2820</v>
      </c>
      <c r="AA34" s="117">
        <v>2961</v>
      </c>
      <c r="AB34" s="117">
        <v>3080</v>
      </c>
      <c r="AC34" s="127">
        <v>3172</v>
      </c>
      <c r="AD34" s="213">
        <v>3268</v>
      </c>
      <c r="AE34" s="213">
        <v>3398</v>
      </c>
      <c r="AF34" s="213">
        <v>3500</v>
      </c>
      <c r="AG34" s="7"/>
      <c r="AH34" s="7"/>
    </row>
    <row r="35" spans="1:34" ht="15.75" customHeight="1" outlineLevel="1">
      <c r="B35" s="178"/>
      <c r="C35" s="178"/>
      <c r="D35" s="178"/>
      <c r="E35" s="178"/>
      <c r="F35" s="178"/>
      <c r="G35" s="178"/>
      <c r="H35" s="178"/>
      <c r="I35" s="865"/>
      <c r="J35" s="865"/>
      <c r="K35" s="205">
        <v>1</v>
      </c>
      <c r="L35" s="116">
        <v>17360</v>
      </c>
      <c r="M35" s="116">
        <v>15775</v>
      </c>
      <c r="N35" s="116">
        <v>22182</v>
      </c>
      <c r="O35" s="116">
        <v>26587</v>
      </c>
      <c r="P35" s="116">
        <v>22168</v>
      </c>
      <c r="Q35" s="116">
        <v>7554</v>
      </c>
      <c r="R35" s="116">
        <v>4912</v>
      </c>
      <c r="S35" s="116">
        <v>4861</v>
      </c>
      <c r="T35" s="116">
        <v>5004</v>
      </c>
      <c r="U35" s="117">
        <v>4732</v>
      </c>
      <c r="V35" s="117">
        <v>5157</v>
      </c>
      <c r="W35" s="127">
        <v>5078</v>
      </c>
      <c r="X35" s="117">
        <v>5710</v>
      </c>
      <c r="Y35" s="117">
        <v>5996</v>
      </c>
      <c r="Z35" s="117">
        <v>6236</v>
      </c>
      <c r="AA35" s="117">
        <v>6361</v>
      </c>
      <c r="AB35" s="117">
        <v>6551</v>
      </c>
      <c r="AC35" s="127">
        <v>6682</v>
      </c>
      <c r="AD35" s="213">
        <v>6816</v>
      </c>
      <c r="AE35" s="213">
        <v>6884</v>
      </c>
      <c r="AF35" s="213">
        <v>6747</v>
      </c>
      <c r="AG35" s="7"/>
      <c r="AH35" s="7"/>
    </row>
    <row r="36" spans="1:34" ht="15.75" customHeight="1" outlineLevel="1">
      <c r="B36" s="178"/>
      <c r="C36" s="178"/>
      <c r="D36" s="178"/>
      <c r="E36" s="178"/>
      <c r="F36" s="178"/>
      <c r="G36" s="178"/>
      <c r="H36" s="178"/>
      <c r="I36" s="865"/>
      <c r="J36" s="865"/>
      <c r="K36" s="205">
        <v>2</v>
      </c>
      <c r="L36" s="116">
        <v>18026</v>
      </c>
      <c r="M36" s="116">
        <v>15580</v>
      </c>
      <c r="N36" s="116">
        <v>23220</v>
      </c>
      <c r="O36" s="116">
        <v>27630</v>
      </c>
      <c r="P36" s="116">
        <v>21263</v>
      </c>
      <c r="Q36" s="116">
        <v>8519</v>
      </c>
      <c r="R36" s="116">
        <v>7444</v>
      </c>
      <c r="S36" s="116">
        <v>7150</v>
      </c>
      <c r="T36" s="116">
        <v>8966</v>
      </c>
      <c r="U36" s="116">
        <v>8776</v>
      </c>
      <c r="V36" s="116">
        <v>8169</v>
      </c>
      <c r="W36" s="127">
        <v>6621</v>
      </c>
      <c r="X36" s="116">
        <v>7151</v>
      </c>
      <c r="Y36" s="116">
        <v>7365</v>
      </c>
      <c r="Z36" s="116">
        <v>7807</v>
      </c>
      <c r="AA36" s="116">
        <v>8119</v>
      </c>
      <c r="AB36" s="116">
        <v>8363</v>
      </c>
      <c r="AC36" s="127">
        <v>8530</v>
      </c>
      <c r="AD36" s="213">
        <v>8786</v>
      </c>
      <c r="AE36" s="213">
        <v>8962</v>
      </c>
      <c r="AF36" s="213">
        <v>9141</v>
      </c>
      <c r="AG36" s="118"/>
      <c r="AH36" s="118">
        <v>8512</v>
      </c>
    </row>
    <row r="37" spans="1:34" ht="12.75" outlineLevel="1">
      <c r="B37" s="178"/>
      <c r="C37" s="178"/>
      <c r="D37" s="178"/>
      <c r="E37" s="178"/>
      <c r="F37" s="178"/>
      <c r="G37" s="178"/>
      <c r="H37" s="178"/>
      <c r="I37" s="865"/>
      <c r="J37" s="866"/>
      <c r="K37" s="205" t="s">
        <v>131</v>
      </c>
      <c r="L37" s="116">
        <v>2195</v>
      </c>
      <c r="M37" s="116">
        <v>2236</v>
      </c>
      <c r="N37" s="116">
        <v>2623</v>
      </c>
      <c r="O37" s="116">
        <v>2997</v>
      </c>
      <c r="P37" s="116">
        <v>2547</v>
      </c>
      <c r="Q37" s="116">
        <v>1354</v>
      </c>
      <c r="R37" s="116">
        <v>1298</v>
      </c>
      <c r="S37" s="116">
        <v>1236</v>
      </c>
      <c r="T37" s="116">
        <v>1438</v>
      </c>
      <c r="U37" s="116">
        <v>1460</v>
      </c>
      <c r="V37" s="116">
        <v>1392</v>
      </c>
      <c r="W37" s="127">
        <v>1116</v>
      </c>
      <c r="X37" s="116">
        <v>1138</v>
      </c>
      <c r="Y37" s="116">
        <v>1150</v>
      </c>
      <c r="Z37" s="116">
        <v>1207</v>
      </c>
      <c r="AA37" s="116">
        <v>1280</v>
      </c>
      <c r="AB37" s="116">
        <v>1318</v>
      </c>
      <c r="AC37" s="127">
        <v>1358</v>
      </c>
      <c r="AD37" s="213">
        <v>1398</v>
      </c>
      <c r="AE37" s="213">
        <v>1426</v>
      </c>
      <c r="AF37" s="213">
        <v>1455</v>
      </c>
    </row>
    <row r="38" spans="1:34" ht="12.75" outlineLevel="1">
      <c r="B38" s="178"/>
      <c r="C38" s="178"/>
      <c r="D38" s="178"/>
      <c r="E38" s="178"/>
      <c r="F38" s="178"/>
      <c r="G38" s="178"/>
      <c r="H38" s="178"/>
      <c r="I38" s="865"/>
      <c r="J38" s="893" t="s">
        <v>132</v>
      </c>
      <c r="K38" s="210" t="s">
        <v>133</v>
      </c>
      <c r="L38" s="116">
        <v>332</v>
      </c>
      <c r="M38" s="116">
        <v>552</v>
      </c>
      <c r="N38" s="116">
        <v>506</v>
      </c>
      <c r="O38" s="116">
        <v>556</v>
      </c>
      <c r="P38" s="116">
        <v>746</v>
      </c>
      <c r="Q38" s="116">
        <v>354</v>
      </c>
      <c r="R38" s="116">
        <v>236</v>
      </c>
      <c r="S38" s="116">
        <v>232</v>
      </c>
      <c r="T38" s="116">
        <v>218</v>
      </c>
      <c r="U38" s="116">
        <v>196</v>
      </c>
      <c r="V38" s="116">
        <v>186</v>
      </c>
      <c r="W38" s="127">
        <v>144</v>
      </c>
      <c r="X38" s="116">
        <v>156</v>
      </c>
      <c r="Y38" s="116">
        <v>160</v>
      </c>
      <c r="Z38" s="116">
        <v>167</v>
      </c>
      <c r="AA38" s="116">
        <v>177</v>
      </c>
      <c r="AB38" s="116">
        <v>185</v>
      </c>
      <c r="AC38" s="127">
        <v>189</v>
      </c>
      <c r="AD38" s="213">
        <v>195</v>
      </c>
      <c r="AE38" s="213">
        <v>201</v>
      </c>
      <c r="AF38" s="213">
        <v>209</v>
      </c>
    </row>
    <row r="39" spans="1:34" ht="12.75" outlineLevel="1">
      <c r="B39" s="178"/>
      <c r="C39" s="178"/>
      <c r="D39" s="178"/>
      <c r="E39" s="178"/>
      <c r="F39" s="178"/>
      <c r="G39" s="178"/>
      <c r="H39" s="178"/>
      <c r="I39" s="865"/>
      <c r="J39" s="866"/>
      <c r="K39" s="210" t="s">
        <v>134</v>
      </c>
      <c r="L39" s="116">
        <v>174</v>
      </c>
      <c r="M39" s="116">
        <v>126</v>
      </c>
      <c r="N39" s="116">
        <v>122</v>
      </c>
      <c r="O39" s="116">
        <v>202</v>
      </c>
      <c r="P39" s="116">
        <v>216</v>
      </c>
      <c r="Q39" s="116">
        <v>232</v>
      </c>
      <c r="R39" s="116">
        <v>110</v>
      </c>
      <c r="S39" s="214">
        <v>196</v>
      </c>
      <c r="T39" s="214">
        <v>202</v>
      </c>
      <c r="U39" s="116">
        <v>218</v>
      </c>
      <c r="V39" s="116">
        <v>144</v>
      </c>
      <c r="W39" s="127">
        <v>96</v>
      </c>
      <c r="X39" s="116">
        <v>117</v>
      </c>
      <c r="Y39" s="116">
        <v>103</v>
      </c>
      <c r="Z39" s="116">
        <v>105</v>
      </c>
      <c r="AA39" s="116">
        <v>108</v>
      </c>
      <c r="AB39" s="116">
        <v>113</v>
      </c>
      <c r="AC39" s="127">
        <v>110</v>
      </c>
      <c r="AD39" s="213">
        <v>114</v>
      </c>
      <c r="AE39" s="213">
        <v>118</v>
      </c>
      <c r="AF39" s="213">
        <v>119</v>
      </c>
    </row>
    <row r="40" spans="1:34" ht="12.75" outlineLevel="1">
      <c r="B40" s="178"/>
      <c r="C40" s="178"/>
      <c r="D40" s="178"/>
      <c r="E40" s="178"/>
      <c r="F40" s="178"/>
      <c r="G40" s="178"/>
      <c r="H40" s="178"/>
      <c r="I40" s="865"/>
      <c r="J40" s="895" t="s">
        <v>135</v>
      </c>
      <c r="K40" s="217" t="s">
        <v>136</v>
      </c>
      <c r="L40" s="218">
        <v>0</v>
      </c>
      <c r="M40" s="218">
        <v>0</v>
      </c>
      <c r="N40" s="218">
        <v>0</v>
      </c>
      <c r="O40" s="218">
        <v>0</v>
      </c>
      <c r="P40" s="218">
        <v>536</v>
      </c>
      <c r="Q40" s="218">
        <v>560</v>
      </c>
      <c r="R40" s="218">
        <v>312</v>
      </c>
      <c r="S40" s="218">
        <v>348</v>
      </c>
      <c r="T40" s="218">
        <v>428</v>
      </c>
      <c r="U40" s="218">
        <v>1020</v>
      </c>
      <c r="V40" s="218">
        <v>921</v>
      </c>
      <c r="W40" s="241">
        <v>668</v>
      </c>
      <c r="X40" s="218">
        <v>958</v>
      </c>
      <c r="Y40" s="218">
        <v>967</v>
      </c>
      <c r="Z40" s="218">
        <v>977</v>
      </c>
      <c r="AA40" s="218">
        <v>987</v>
      </c>
      <c r="AB40" s="218">
        <v>1007</v>
      </c>
      <c r="AC40" s="241">
        <v>1027</v>
      </c>
      <c r="AD40" s="242">
        <v>1047</v>
      </c>
      <c r="AE40" s="242">
        <v>1068</v>
      </c>
      <c r="AF40" s="242">
        <v>1090</v>
      </c>
    </row>
    <row r="41" spans="1:34" ht="12.75" outlineLevel="1">
      <c r="B41" s="178"/>
      <c r="C41" s="178"/>
      <c r="D41" s="178"/>
      <c r="E41" s="178"/>
      <c r="F41" s="178"/>
      <c r="G41" s="178"/>
      <c r="H41" s="178"/>
      <c r="I41" s="865"/>
      <c r="J41" s="865"/>
      <c r="K41" s="217" t="s">
        <v>137</v>
      </c>
      <c r="L41" s="218">
        <v>0</v>
      </c>
      <c r="M41" s="218">
        <v>0</v>
      </c>
      <c r="N41" s="218">
        <v>0</v>
      </c>
      <c r="O41" s="218">
        <v>0</v>
      </c>
      <c r="P41" s="218">
        <v>520</v>
      </c>
      <c r="Q41" s="218">
        <v>464</v>
      </c>
      <c r="R41" s="218">
        <v>264</v>
      </c>
      <c r="S41" s="218">
        <v>356</v>
      </c>
      <c r="T41" s="218">
        <v>460</v>
      </c>
      <c r="U41" s="218">
        <v>1012</v>
      </c>
      <c r="V41" s="218">
        <v>1045</v>
      </c>
      <c r="W41" s="241">
        <v>716</v>
      </c>
      <c r="X41" s="218">
        <v>1108</v>
      </c>
      <c r="Y41" s="218">
        <v>1131</v>
      </c>
      <c r="Z41" s="218">
        <v>1142</v>
      </c>
      <c r="AA41" s="218">
        <v>1153</v>
      </c>
      <c r="AB41" s="218">
        <v>1188</v>
      </c>
      <c r="AC41" s="241">
        <v>1212</v>
      </c>
      <c r="AD41" s="242">
        <v>1236</v>
      </c>
      <c r="AE41" s="242">
        <v>1261</v>
      </c>
      <c r="AF41" s="242">
        <v>1286</v>
      </c>
      <c r="AG41" s="7"/>
      <c r="AH41" s="7"/>
    </row>
    <row r="42" spans="1:34" ht="12.75" outlineLevel="1">
      <c r="B42" s="178"/>
      <c r="C42" s="178"/>
      <c r="D42" s="178"/>
      <c r="E42" s="178"/>
      <c r="F42" s="178"/>
      <c r="G42" s="178"/>
      <c r="H42" s="178"/>
      <c r="I42" s="865"/>
      <c r="J42" s="865"/>
      <c r="K42" s="217" t="s">
        <v>138</v>
      </c>
      <c r="L42" s="218">
        <v>0</v>
      </c>
      <c r="M42" s="218">
        <v>0</v>
      </c>
      <c r="N42" s="218">
        <v>0</v>
      </c>
      <c r="O42" s="218">
        <v>0</v>
      </c>
      <c r="P42" s="218">
        <v>784</v>
      </c>
      <c r="Q42" s="218">
        <v>472</v>
      </c>
      <c r="R42" s="218">
        <v>328</v>
      </c>
      <c r="S42" s="218">
        <v>284</v>
      </c>
      <c r="T42" s="218">
        <v>276</v>
      </c>
      <c r="U42" s="218">
        <v>1100</v>
      </c>
      <c r="V42" s="218">
        <v>895</v>
      </c>
      <c r="W42" s="241">
        <v>748</v>
      </c>
      <c r="X42" s="218">
        <v>931</v>
      </c>
      <c r="Y42" s="218">
        <v>950</v>
      </c>
      <c r="Z42" s="218">
        <v>960</v>
      </c>
      <c r="AA42" s="218">
        <v>969</v>
      </c>
      <c r="AB42" s="218">
        <v>998</v>
      </c>
      <c r="AC42" s="241">
        <v>1018</v>
      </c>
      <c r="AD42" s="242">
        <v>1039</v>
      </c>
      <c r="AE42" s="242">
        <v>1059</v>
      </c>
      <c r="AF42" s="242">
        <v>1081</v>
      </c>
      <c r="AG42" s="7"/>
      <c r="AH42" s="7"/>
    </row>
    <row r="43" spans="1:34" ht="12.75" outlineLevel="1">
      <c r="B43" s="178"/>
      <c r="C43" s="178"/>
      <c r="D43" s="178"/>
      <c r="E43" s="178"/>
      <c r="F43" s="178"/>
      <c r="G43" s="178"/>
      <c r="H43" s="178"/>
      <c r="I43" s="865"/>
      <c r="J43" s="866"/>
      <c r="K43" s="217" t="s">
        <v>139</v>
      </c>
      <c r="L43" s="218">
        <v>0</v>
      </c>
      <c r="M43" s="218">
        <v>0</v>
      </c>
      <c r="N43" s="218">
        <v>0</v>
      </c>
      <c r="O43" s="218">
        <v>0</v>
      </c>
      <c r="P43" s="218">
        <v>1048</v>
      </c>
      <c r="Q43" s="218">
        <v>376</v>
      </c>
      <c r="R43" s="218">
        <v>384</v>
      </c>
      <c r="S43" s="218">
        <v>212</v>
      </c>
      <c r="T43" s="218">
        <v>324</v>
      </c>
      <c r="U43" s="218">
        <v>1116</v>
      </c>
      <c r="V43" s="218">
        <v>805</v>
      </c>
      <c r="W43" s="241">
        <v>700</v>
      </c>
      <c r="X43" s="218">
        <v>797</v>
      </c>
      <c r="Y43" s="218">
        <v>805</v>
      </c>
      <c r="Z43" s="218">
        <v>813</v>
      </c>
      <c r="AA43" s="218">
        <v>821</v>
      </c>
      <c r="AB43" s="218">
        <v>837</v>
      </c>
      <c r="AC43" s="241">
        <v>854</v>
      </c>
      <c r="AD43" s="242">
        <v>871</v>
      </c>
      <c r="AE43" s="242">
        <v>889</v>
      </c>
      <c r="AF43" s="242">
        <v>906</v>
      </c>
      <c r="AG43" s="7"/>
      <c r="AH43" s="7"/>
    </row>
    <row r="44" spans="1:34" ht="12.75" outlineLevel="1">
      <c r="B44" s="178"/>
      <c r="C44" s="178"/>
      <c r="D44" s="178"/>
      <c r="E44" s="178"/>
      <c r="F44" s="178"/>
      <c r="G44" s="178"/>
      <c r="H44" s="178"/>
      <c r="I44" s="866"/>
      <c r="J44" s="909" t="s">
        <v>38</v>
      </c>
      <c r="K44" s="860"/>
      <c r="L44" s="244">
        <f t="shared" ref="L44:AF44" si="6">SUM(L28:L39)</f>
        <v>57902</v>
      </c>
      <c r="M44" s="244">
        <f t="shared" si="6"/>
        <v>50060</v>
      </c>
      <c r="N44" s="244">
        <f t="shared" si="6"/>
        <v>66663</v>
      </c>
      <c r="O44" s="244">
        <f t="shared" si="6"/>
        <v>79257</v>
      </c>
      <c r="P44" s="244">
        <f t="shared" si="6"/>
        <v>66391</v>
      </c>
      <c r="Q44" s="244">
        <f t="shared" si="6"/>
        <v>24854</v>
      </c>
      <c r="R44" s="244">
        <f t="shared" si="6"/>
        <v>19334.099999999999</v>
      </c>
      <c r="S44" s="244">
        <f t="shared" si="6"/>
        <v>19363</v>
      </c>
      <c r="T44" s="244">
        <f t="shared" si="6"/>
        <v>21659</v>
      </c>
      <c r="U44" s="244">
        <f t="shared" si="6"/>
        <v>21133</v>
      </c>
      <c r="V44" s="244">
        <f t="shared" si="6"/>
        <v>20728</v>
      </c>
      <c r="W44" s="245">
        <f t="shared" si="6"/>
        <v>18775</v>
      </c>
      <c r="X44" s="244">
        <f t="shared" si="6"/>
        <v>20252</v>
      </c>
      <c r="Y44" s="244">
        <f t="shared" si="6"/>
        <v>20624</v>
      </c>
      <c r="Z44" s="244">
        <f t="shared" si="6"/>
        <v>21793</v>
      </c>
      <c r="AA44" s="244">
        <f t="shared" si="6"/>
        <v>22607</v>
      </c>
      <c r="AB44" s="244">
        <f t="shared" si="6"/>
        <v>23208</v>
      </c>
      <c r="AC44" s="245">
        <f t="shared" si="6"/>
        <v>23647</v>
      </c>
      <c r="AD44" s="246">
        <f t="shared" si="6"/>
        <v>24564</v>
      </c>
      <c r="AE44" s="246">
        <f t="shared" si="6"/>
        <v>25353</v>
      </c>
      <c r="AF44" s="246">
        <f t="shared" si="6"/>
        <v>25671</v>
      </c>
      <c r="AG44" s="7"/>
      <c r="AH44" s="7"/>
    </row>
    <row r="45" spans="1:34" ht="12.75">
      <c r="B45" s="178"/>
      <c r="C45" s="178"/>
      <c r="D45" s="178"/>
      <c r="E45" s="178"/>
      <c r="F45" s="178"/>
      <c r="G45" s="178"/>
      <c r="H45" s="178"/>
      <c r="I45" s="247"/>
      <c r="J45" s="248"/>
      <c r="K45" s="248"/>
      <c r="AG45" s="7"/>
      <c r="AH45" s="7"/>
    </row>
    <row r="46" spans="1:34" ht="12.75">
      <c r="A46" s="178"/>
      <c r="B46" s="178"/>
      <c r="C46" s="249"/>
      <c r="D46" s="178"/>
      <c r="E46" s="178"/>
      <c r="F46" s="178"/>
      <c r="G46" s="178"/>
      <c r="H46" s="178"/>
      <c r="I46" s="247"/>
      <c r="J46" s="248"/>
      <c r="K46" s="248"/>
      <c r="AG46" s="7"/>
      <c r="AH46" s="7"/>
    </row>
    <row r="47" spans="1:34" ht="12.75">
      <c r="A47" s="107"/>
      <c r="B47" s="107"/>
      <c r="C47" s="108" t="s">
        <v>53</v>
      </c>
      <c r="D47" s="107" t="s">
        <v>50</v>
      </c>
      <c r="E47" s="107"/>
      <c r="F47" s="178"/>
      <c r="G47" s="178"/>
      <c r="H47" s="178"/>
      <c r="I47" s="894" t="s">
        <v>51</v>
      </c>
      <c r="J47" s="879"/>
      <c r="K47" s="860"/>
      <c r="L47" s="250" t="s">
        <v>14</v>
      </c>
      <c r="M47" s="250" t="s">
        <v>15</v>
      </c>
      <c r="N47" s="250" t="s">
        <v>16</v>
      </c>
      <c r="O47" s="250" t="s">
        <v>17</v>
      </c>
      <c r="P47" s="250" t="s">
        <v>18</v>
      </c>
      <c r="Q47" s="250" t="s">
        <v>19</v>
      </c>
      <c r="R47" s="250" t="s">
        <v>20</v>
      </c>
      <c r="S47" s="250" t="s">
        <v>21</v>
      </c>
      <c r="T47" s="250" t="s">
        <v>22</v>
      </c>
      <c r="U47" s="250" t="s">
        <v>23</v>
      </c>
      <c r="V47" s="250" t="s">
        <v>107</v>
      </c>
      <c r="W47" s="251" t="s">
        <v>25</v>
      </c>
      <c r="X47" s="250" t="s">
        <v>26</v>
      </c>
      <c r="Y47" s="250" t="s">
        <v>15</v>
      </c>
      <c r="Z47" s="250" t="s">
        <v>16</v>
      </c>
      <c r="AA47" s="250" t="s">
        <v>17</v>
      </c>
      <c r="AB47" s="250" t="s">
        <v>18</v>
      </c>
      <c r="AC47" s="251" t="s">
        <v>19</v>
      </c>
      <c r="AD47" s="252" t="s">
        <v>20</v>
      </c>
      <c r="AE47" s="253" t="s">
        <v>21</v>
      </c>
      <c r="AF47" s="253" t="s">
        <v>22</v>
      </c>
      <c r="AG47" s="7"/>
      <c r="AH47" s="7"/>
    </row>
    <row r="48" spans="1:34" ht="12.75">
      <c r="A48" s="900" t="s">
        <v>27</v>
      </c>
      <c r="B48" s="254" t="s">
        <v>110</v>
      </c>
      <c r="C48" s="255">
        <v>3283</v>
      </c>
      <c r="D48" s="256">
        <f>C48-(W28/31*11)</f>
        <v>3212.3870967741937</v>
      </c>
      <c r="E48" s="256">
        <f t="shared" ref="E48:E63" si="7">D48-W48</f>
        <v>7.3870967741936511</v>
      </c>
      <c r="F48" s="178"/>
      <c r="G48" s="178"/>
      <c r="H48" s="178"/>
      <c r="I48" s="911" t="s">
        <v>140</v>
      </c>
      <c r="J48" s="891" t="s">
        <v>27</v>
      </c>
      <c r="K48" s="190" t="s">
        <v>110</v>
      </c>
      <c r="L48" s="116">
        <v>4054</v>
      </c>
      <c r="M48" s="116">
        <v>3567</v>
      </c>
      <c r="N48" s="116">
        <v>3474</v>
      </c>
      <c r="O48" s="116">
        <v>3043</v>
      </c>
      <c r="P48" s="116">
        <f>3566-1757</f>
        <v>1809</v>
      </c>
      <c r="Q48" s="116">
        <f>3905-1757</f>
        <v>2148</v>
      </c>
      <c r="R48" s="116">
        <v>2260</v>
      </c>
      <c r="S48" s="116">
        <v>2120.4</v>
      </c>
      <c r="T48" s="116">
        <v>3664</v>
      </c>
      <c r="U48" s="116">
        <v>3517.4</v>
      </c>
      <c r="V48" s="116">
        <v>3404</v>
      </c>
      <c r="W48" s="212">
        <f t="shared" ref="W48:AA48" si="8">V48+W6-W28</f>
        <v>3205</v>
      </c>
      <c r="X48" s="116">
        <f t="shared" si="8"/>
        <v>3051</v>
      </c>
      <c r="Y48" s="116">
        <f t="shared" si="8"/>
        <v>2900</v>
      </c>
      <c r="Z48" s="116">
        <f t="shared" si="8"/>
        <v>2725</v>
      </c>
      <c r="AA48" s="116">
        <f t="shared" si="8"/>
        <v>2526</v>
      </c>
      <c r="AB48" s="214">
        <f>AA48+AB6-AB28-366</f>
        <v>1937</v>
      </c>
      <c r="AC48" s="212">
        <f t="shared" ref="AC48:AD48" si="9">AB48+AC6-AC28</f>
        <v>1694</v>
      </c>
      <c r="AD48" s="257">
        <f t="shared" si="9"/>
        <v>1436</v>
      </c>
      <c r="AE48" s="214">
        <f>AD48+AE6-AE28-654</f>
        <v>512</v>
      </c>
      <c r="AF48" s="214">
        <f>AE48+AF6-AF28-46</f>
        <v>185</v>
      </c>
      <c r="AG48" s="7"/>
      <c r="AH48" s="7"/>
    </row>
    <row r="49" spans="1:34" ht="12.75">
      <c r="A49" s="865"/>
      <c r="B49" s="254">
        <v>1</v>
      </c>
      <c r="C49" s="255">
        <v>9067</v>
      </c>
      <c r="D49" s="256">
        <f t="shared" ref="D49:D63" si="10">C49-(V29/31*9)</f>
        <v>8881.7741935483864</v>
      </c>
      <c r="E49" s="256">
        <f t="shared" si="7"/>
        <v>53.774193548386393</v>
      </c>
      <c r="F49" s="178"/>
      <c r="G49" s="178"/>
      <c r="H49" s="178"/>
      <c r="I49" s="865"/>
      <c r="J49" s="865"/>
      <c r="K49" s="190">
        <v>1</v>
      </c>
      <c r="L49" s="116">
        <v>1301</v>
      </c>
      <c r="M49" s="116">
        <v>0</v>
      </c>
      <c r="N49" s="116">
        <v>1282</v>
      </c>
      <c r="O49" s="116">
        <v>4934</v>
      </c>
      <c r="P49" s="116">
        <v>6187</v>
      </c>
      <c r="Q49" s="116">
        <v>7713</v>
      </c>
      <c r="R49" s="116">
        <v>8663</v>
      </c>
      <c r="S49" s="116">
        <v>7949.2</v>
      </c>
      <c r="T49" s="116">
        <v>10902</v>
      </c>
      <c r="U49" s="116">
        <v>10107.066666666668</v>
      </c>
      <c r="V49" s="116">
        <v>9670</v>
      </c>
      <c r="W49" s="212">
        <f t="shared" ref="W49:AA49" si="11">V49+W7-W29</f>
        <v>8828</v>
      </c>
      <c r="X49" s="116">
        <f t="shared" si="11"/>
        <v>8164</v>
      </c>
      <c r="Y49" s="116">
        <f t="shared" si="11"/>
        <v>7507</v>
      </c>
      <c r="Z49" s="116">
        <f t="shared" si="11"/>
        <v>6810</v>
      </c>
      <c r="AA49" s="116">
        <f t="shared" si="11"/>
        <v>6079</v>
      </c>
      <c r="AB49" s="214">
        <f>AA49+AB7-AB29-365</f>
        <v>4953</v>
      </c>
      <c r="AC49" s="258">
        <f>AB49+AC7-AC29-1611</f>
        <v>2559</v>
      </c>
      <c r="AD49" s="257">
        <f>AC49+AD7-AD29</f>
        <v>1760</v>
      </c>
      <c r="AE49" s="214">
        <f>AD49+AE7-AE29-2840</f>
        <v>-1903</v>
      </c>
      <c r="AF49" s="116">
        <f t="shared" ref="AF49:AF50" si="12">AE49+AF7-AF29</f>
        <v>-2743</v>
      </c>
      <c r="AG49" s="7"/>
      <c r="AH49" s="7"/>
    </row>
    <row r="50" spans="1:34" ht="12.75">
      <c r="A50" s="865"/>
      <c r="B50" s="254" t="s">
        <v>119</v>
      </c>
      <c r="C50" s="255">
        <v>5512</v>
      </c>
      <c r="D50" s="256">
        <f t="shared" si="10"/>
        <v>5424.9032258064517</v>
      </c>
      <c r="E50" s="256">
        <f t="shared" si="7"/>
        <v>9.9032258064517009</v>
      </c>
      <c r="F50" s="178"/>
      <c r="G50" s="178"/>
      <c r="H50" s="178"/>
      <c r="I50" s="865"/>
      <c r="J50" s="865"/>
      <c r="K50" s="190" t="s">
        <v>119</v>
      </c>
      <c r="L50" s="116">
        <v>13865</v>
      </c>
      <c r="M50" s="116">
        <v>11903</v>
      </c>
      <c r="N50" s="116">
        <v>10128</v>
      </c>
      <c r="O50" s="116">
        <v>8377</v>
      </c>
      <c r="P50" s="116">
        <v>14109</v>
      </c>
      <c r="Q50" s="116">
        <v>0</v>
      </c>
      <c r="R50" s="116">
        <v>0</v>
      </c>
      <c r="S50" s="116">
        <v>-2.6666666666666668E-2</v>
      </c>
      <c r="T50" s="116">
        <v>6326</v>
      </c>
      <c r="U50" s="116">
        <v>6061.4666666666662</v>
      </c>
      <c r="V50" s="116">
        <v>5755</v>
      </c>
      <c r="W50" s="212">
        <f t="shared" ref="W50:AD50" si="13">V50+W8-W30</f>
        <v>5415</v>
      </c>
      <c r="X50" s="116">
        <f t="shared" si="13"/>
        <v>12239</v>
      </c>
      <c r="Y50" s="116">
        <f t="shared" si="13"/>
        <v>11840</v>
      </c>
      <c r="Z50" s="116">
        <f t="shared" si="13"/>
        <v>11413</v>
      </c>
      <c r="AA50" s="116">
        <f t="shared" si="13"/>
        <v>10973</v>
      </c>
      <c r="AB50" s="116">
        <f t="shared" si="13"/>
        <v>10569</v>
      </c>
      <c r="AC50" s="212">
        <f t="shared" si="13"/>
        <v>10156</v>
      </c>
      <c r="AD50" s="257">
        <f t="shared" si="13"/>
        <v>9657</v>
      </c>
      <c r="AE50" s="214">
        <f>AD50+AE8-AE30-2800</f>
        <v>6223</v>
      </c>
      <c r="AF50" s="116">
        <f t="shared" si="12"/>
        <v>5557</v>
      </c>
      <c r="AG50" s="7"/>
      <c r="AH50" s="7"/>
    </row>
    <row r="51" spans="1:34" ht="12.75">
      <c r="A51" s="865"/>
      <c r="B51" s="254">
        <v>2</v>
      </c>
      <c r="C51" s="255">
        <v>4933</v>
      </c>
      <c r="D51" s="256">
        <f t="shared" si="10"/>
        <v>4598.8387096774195</v>
      </c>
      <c r="E51" s="256">
        <f t="shared" si="7"/>
        <v>-43.161290322580498</v>
      </c>
      <c r="F51" s="178"/>
      <c r="G51" s="178"/>
      <c r="H51" s="178"/>
      <c r="I51" s="865"/>
      <c r="J51" s="865"/>
      <c r="K51" s="190">
        <v>2</v>
      </c>
      <c r="L51" s="116">
        <v>6730</v>
      </c>
      <c r="M51" s="116">
        <v>5473</v>
      </c>
      <c r="N51" s="116">
        <v>4249</v>
      </c>
      <c r="O51" s="116">
        <v>2605</v>
      </c>
      <c r="P51" s="116">
        <v>2356</v>
      </c>
      <c r="Q51" s="116">
        <v>2446</v>
      </c>
      <c r="R51" s="116">
        <v>2511</v>
      </c>
      <c r="S51" s="116">
        <v>1161.6666666666667</v>
      </c>
      <c r="T51" s="116">
        <v>7697</v>
      </c>
      <c r="U51" s="116">
        <v>6510.2</v>
      </c>
      <c r="V51" s="116">
        <v>5552</v>
      </c>
      <c r="W51" s="212">
        <f t="shared" ref="W51:AF51" si="14">V51+W9-W31</f>
        <v>4642</v>
      </c>
      <c r="X51" s="116">
        <f t="shared" si="14"/>
        <v>3433</v>
      </c>
      <c r="Y51" s="116">
        <f t="shared" si="14"/>
        <v>2248</v>
      </c>
      <c r="Z51" s="116">
        <f t="shared" si="14"/>
        <v>1016</v>
      </c>
      <c r="AA51" s="116">
        <f t="shared" si="14"/>
        <v>-253</v>
      </c>
      <c r="AB51" s="116">
        <f t="shared" si="14"/>
        <v>-1510</v>
      </c>
      <c r="AC51" s="127">
        <f t="shared" si="14"/>
        <v>-2729</v>
      </c>
      <c r="AD51" s="257">
        <f t="shared" si="14"/>
        <v>-4131</v>
      </c>
      <c r="AE51" s="116">
        <f t="shared" si="14"/>
        <v>-5617</v>
      </c>
      <c r="AF51" s="116">
        <f t="shared" si="14"/>
        <v>-7148</v>
      </c>
      <c r="AG51" s="7"/>
      <c r="AH51" s="7"/>
    </row>
    <row r="52" spans="1:34" ht="12.75">
      <c r="A52" s="865"/>
      <c r="B52" s="254" t="s">
        <v>124</v>
      </c>
      <c r="C52" s="255">
        <v>25730</v>
      </c>
      <c r="D52" s="256">
        <f t="shared" si="10"/>
        <v>25562.483870967742</v>
      </c>
      <c r="E52" s="256">
        <f t="shared" si="7"/>
        <v>24.483870967742405</v>
      </c>
      <c r="F52" s="178"/>
      <c r="G52" s="178"/>
      <c r="H52" s="178"/>
      <c r="I52" s="865"/>
      <c r="J52" s="865"/>
      <c r="K52" s="190" t="s">
        <v>124</v>
      </c>
      <c r="L52" s="116">
        <v>14739</v>
      </c>
      <c r="M52" s="116">
        <v>12610</v>
      </c>
      <c r="N52" s="116">
        <v>10681</v>
      </c>
      <c r="O52" s="116">
        <v>8444</v>
      </c>
      <c r="P52" s="116">
        <v>12969</v>
      </c>
      <c r="Q52" s="116">
        <v>10211</v>
      </c>
      <c r="R52" s="116">
        <v>11645</v>
      </c>
      <c r="S52" s="116">
        <v>11002.466666666667</v>
      </c>
      <c r="T52" s="116">
        <v>22295</v>
      </c>
      <c r="U52" s="116">
        <v>26586.400000000001</v>
      </c>
      <c r="V52" s="116">
        <v>26051</v>
      </c>
      <c r="W52" s="212">
        <f t="shared" ref="W52:Z52" si="15">V52+W10-W32</f>
        <v>25538</v>
      </c>
      <c r="X52" s="116">
        <f t="shared" si="15"/>
        <v>24994</v>
      </c>
      <c r="Y52" s="116">
        <f t="shared" si="15"/>
        <v>24472</v>
      </c>
      <c r="Z52" s="116">
        <f t="shared" si="15"/>
        <v>23882</v>
      </c>
      <c r="AA52" s="214">
        <f>Z52+AA10-AA32-1800</f>
        <v>21457</v>
      </c>
      <c r="AB52" s="214">
        <f>AA52+AB10-AB32-4500</f>
        <v>16344</v>
      </c>
      <c r="AC52" s="212">
        <f t="shared" ref="AC52:AD52" si="16">AB52+AC10-AC32</f>
        <v>15743</v>
      </c>
      <c r="AD52" s="257">
        <f t="shared" si="16"/>
        <v>15064</v>
      </c>
      <c r="AE52" s="214">
        <f>AD52+AE10-AE32-10000</f>
        <v>4270</v>
      </c>
      <c r="AF52" s="214">
        <v>0</v>
      </c>
      <c r="AG52" s="7"/>
      <c r="AH52" s="7"/>
    </row>
    <row r="53" spans="1:34" ht="12.75">
      <c r="A53" s="866"/>
      <c r="B53" s="254">
        <v>3</v>
      </c>
      <c r="C53" s="255">
        <v>3457</v>
      </c>
      <c r="D53" s="256">
        <f t="shared" si="10"/>
        <v>3366.7096774193546</v>
      </c>
      <c r="E53" s="256">
        <f t="shared" si="7"/>
        <v>44.709677419354648</v>
      </c>
      <c r="F53" s="178"/>
      <c r="G53" s="178"/>
      <c r="H53" s="178"/>
      <c r="I53" s="865"/>
      <c r="J53" s="866"/>
      <c r="K53" s="190">
        <v>3</v>
      </c>
      <c r="L53" s="116">
        <v>29</v>
      </c>
      <c r="M53" s="116">
        <v>0</v>
      </c>
      <c r="N53" s="116">
        <v>1195</v>
      </c>
      <c r="O53" s="116">
        <v>857</v>
      </c>
      <c r="P53" s="116">
        <v>298</v>
      </c>
      <c r="Q53" s="116">
        <v>540</v>
      </c>
      <c r="R53" s="116">
        <v>240</v>
      </c>
      <c r="S53" s="116">
        <v>0</v>
      </c>
      <c r="T53" s="116">
        <v>4365</v>
      </c>
      <c r="U53" s="116">
        <v>4136.5333333333338</v>
      </c>
      <c r="V53" s="116">
        <v>3724</v>
      </c>
      <c r="W53" s="212">
        <f t="shared" ref="W53:AF53" si="17">V53+W11-W33</f>
        <v>3322</v>
      </c>
      <c r="X53" s="116">
        <f t="shared" si="17"/>
        <v>3002</v>
      </c>
      <c r="Y53" s="116">
        <f t="shared" si="17"/>
        <v>2678</v>
      </c>
      <c r="Z53" s="116">
        <f t="shared" si="17"/>
        <v>2348</v>
      </c>
      <c r="AA53" s="116">
        <f t="shared" si="17"/>
        <v>2011</v>
      </c>
      <c r="AB53" s="116">
        <f t="shared" si="17"/>
        <v>1671</v>
      </c>
      <c r="AC53" s="212">
        <f t="shared" si="17"/>
        <v>1324</v>
      </c>
      <c r="AD53" s="257">
        <f t="shared" si="17"/>
        <v>974</v>
      </c>
      <c r="AE53" s="116">
        <f t="shared" si="17"/>
        <v>617</v>
      </c>
      <c r="AF53" s="116">
        <f t="shared" si="17"/>
        <v>253</v>
      </c>
      <c r="AG53" s="7"/>
      <c r="AH53" s="7"/>
    </row>
    <row r="54" spans="1:34" ht="12.75">
      <c r="A54" s="901" t="s">
        <v>32</v>
      </c>
      <c r="B54" s="259" t="s">
        <v>110</v>
      </c>
      <c r="C54" s="255">
        <v>46134</v>
      </c>
      <c r="D54" s="256">
        <f t="shared" si="10"/>
        <v>45390.483870967742</v>
      </c>
      <c r="E54" s="256">
        <f t="shared" si="7"/>
        <v>90.483870967742405</v>
      </c>
      <c r="F54" s="178"/>
      <c r="G54" s="178"/>
      <c r="H54" s="178"/>
      <c r="I54" s="865"/>
      <c r="J54" s="892" t="s">
        <v>32</v>
      </c>
      <c r="K54" s="205" t="s">
        <v>110</v>
      </c>
      <c r="L54" s="116">
        <v>13157</v>
      </c>
      <c r="M54" s="116">
        <v>18869</v>
      </c>
      <c r="N54" s="116">
        <v>18706</v>
      </c>
      <c r="O54" s="116">
        <v>31891</v>
      </c>
      <c r="P54" s="116">
        <v>37421</v>
      </c>
      <c r="Q54" s="116">
        <v>29421</v>
      </c>
      <c r="R54" s="116">
        <v>26829</v>
      </c>
      <c r="S54" s="116">
        <v>53192.666666666664</v>
      </c>
      <c r="T54" s="116">
        <v>51109</v>
      </c>
      <c r="U54" s="116">
        <v>50129.466666666667</v>
      </c>
      <c r="V54" s="116">
        <v>47814</v>
      </c>
      <c r="W54" s="212">
        <f t="shared" ref="W54:AF54" si="18">V54+W12-W34</f>
        <v>45300</v>
      </c>
      <c r="X54" s="116">
        <f t="shared" si="18"/>
        <v>42635</v>
      </c>
      <c r="Y54" s="116">
        <f t="shared" si="18"/>
        <v>40023</v>
      </c>
      <c r="Z54" s="116">
        <f t="shared" si="18"/>
        <v>37203</v>
      </c>
      <c r="AA54" s="116">
        <f t="shared" si="18"/>
        <v>34242</v>
      </c>
      <c r="AB54" s="116">
        <f t="shared" si="18"/>
        <v>31162</v>
      </c>
      <c r="AC54" s="212">
        <f t="shared" si="18"/>
        <v>27990</v>
      </c>
      <c r="AD54" s="257">
        <f t="shared" si="18"/>
        <v>24722</v>
      </c>
      <c r="AE54" s="116">
        <f t="shared" si="18"/>
        <v>21324</v>
      </c>
      <c r="AF54" s="116">
        <f t="shared" si="18"/>
        <v>17824</v>
      </c>
      <c r="AG54" s="7"/>
      <c r="AH54" s="7"/>
    </row>
    <row r="55" spans="1:34" ht="12.75">
      <c r="A55" s="865"/>
      <c r="B55" s="259">
        <v>1</v>
      </c>
      <c r="C55" s="255">
        <v>76043</v>
      </c>
      <c r="D55" s="256">
        <f t="shared" si="10"/>
        <v>74545.806451612909</v>
      </c>
      <c r="E55" s="256">
        <f t="shared" si="7"/>
        <v>276.80645161290886</v>
      </c>
      <c r="F55" s="178"/>
      <c r="G55" s="178"/>
      <c r="H55" s="178"/>
      <c r="I55" s="865"/>
      <c r="J55" s="865"/>
      <c r="K55" s="205">
        <v>1</v>
      </c>
      <c r="L55" s="116">
        <v>43963</v>
      </c>
      <c r="M55" s="116">
        <v>32815</v>
      </c>
      <c r="N55" s="116">
        <v>33370</v>
      </c>
      <c r="O55" s="116">
        <v>90234</v>
      </c>
      <c r="P55" s="116">
        <v>91523</v>
      </c>
      <c r="Q55" s="116">
        <v>62384</v>
      </c>
      <c r="R55" s="116">
        <v>57177</v>
      </c>
      <c r="S55" s="116">
        <v>82326.8</v>
      </c>
      <c r="T55" s="116">
        <v>77809</v>
      </c>
      <c r="U55" s="116">
        <v>83630.933333333334</v>
      </c>
      <c r="V55" s="116">
        <v>79347</v>
      </c>
      <c r="W55" s="212">
        <f t="shared" ref="W55:AF55" si="19">V55+W13-W35</f>
        <v>74269</v>
      </c>
      <c r="X55" s="116">
        <f t="shared" si="19"/>
        <v>68559</v>
      </c>
      <c r="Y55" s="116">
        <f t="shared" si="19"/>
        <v>62563</v>
      </c>
      <c r="Z55" s="116">
        <f t="shared" si="19"/>
        <v>56327</v>
      </c>
      <c r="AA55" s="116">
        <f t="shared" si="19"/>
        <v>49966</v>
      </c>
      <c r="AB55" s="116">
        <f t="shared" si="19"/>
        <v>43415</v>
      </c>
      <c r="AC55" s="212">
        <f t="shared" si="19"/>
        <v>36733</v>
      </c>
      <c r="AD55" s="257">
        <f t="shared" si="19"/>
        <v>29917</v>
      </c>
      <c r="AE55" s="116">
        <f t="shared" si="19"/>
        <v>23033</v>
      </c>
      <c r="AF55" s="116">
        <f t="shared" si="19"/>
        <v>16286</v>
      </c>
      <c r="AG55" s="7"/>
      <c r="AH55" s="7"/>
    </row>
    <row r="56" spans="1:34" ht="12.75">
      <c r="A56" s="865"/>
      <c r="B56" s="259">
        <v>2</v>
      </c>
      <c r="C56" s="255">
        <v>113739</v>
      </c>
      <c r="D56" s="256">
        <f t="shared" si="10"/>
        <v>111367.35483870968</v>
      </c>
      <c r="E56" s="256">
        <f t="shared" si="7"/>
        <v>94.354838709681644</v>
      </c>
      <c r="F56" s="178"/>
      <c r="G56" s="178"/>
      <c r="H56" s="178"/>
      <c r="I56" s="865"/>
      <c r="J56" s="865"/>
      <c r="K56" s="205">
        <v>2</v>
      </c>
      <c r="L56" s="116">
        <v>24590</v>
      </c>
      <c r="M56" s="116">
        <v>54489</v>
      </c>
      <c r="N56" s="116">
        <v>75119</v>
      </c>
      <c r="O56" s="116">
        <v>85815</v>
      </c>
      <c r="P56" s="116">
        <v>85573</v>
      </c>
      <c r="Q56" s="116">
        <v>106498</v>
      </c>
      <c r="R56" s="116">
        <v>104606</v>
      </c>
      <c r="S56" s="116">
        <v>129815.26666666666</v>
      </c>
      <c r="T56" s="116">
        <v>119550</v>
      </c>
      <c r="U56" s="116">
        <v>127811.2</v>
      </c>
      <c r="V56" s="116">
        <v>117894</v>
      </c>
      <c r="W56" s="212">
        <f t="shared" ref="W56:AF56" si="20">V56+W14-W36</f>
        <v>111273</v>
      </c>
      <c r="X56" s="116">
        <f t="shared" si="20"/>
        <v>104122</v>
      </c>
      <c r="Y56" s="116">
        <f t="shared" si="20"/>
        <v>96757</v>
      </c>
      <c r="Z56" s="116">
        <f t="shared" si="20"/>
        <v>88950</v>
      </c>
      <c r="AA56" s="116">
        <f t="shared" si="20"/>
        <v>80831</v>
      </c>
      <c r="AB56" s="116">
        <f t="shared" si="20"/>
        <v>72468</v>
      </c>
      <c r="AC56" s="212">
        <f t="shared" si="20"/>
        <v>63938</v>
      </c>
      <c r="AD56" s="257">
        <f t="shared" si="20"/>
        <v>55152</v>
      </c>
      <c r="AE56" s="116">
        <f t="shared" si="20"/>
        <v>46190</v>
      </c>
      <c r="AF56" s="116">
        <f t="shared" si="20"/>
        <v>37049</v>
      </c>
      <c r="AG56" s="7"/>
      <c r="AH56" s="7"/>
    </row>
    <row r="57" spans="1:34" ht="12.75">
      <c r="A57" s="866"/>
      <c r="B57" s="259" t="s">
        <v>131</v>
      </c>
      <c r="C57" s="255">
        <v>16471</v>
      </c>
      <c r="D57" s="256">
        <f t="shared" si="10"/>
        <v>16066.870967741936</v>
      </c>
      <c r="E57" s="256">
        <f t="shared" si="7"/>
        <v>13.870967741935601</v>
      </c>
      <c r="F57" s="178"/>
      <c r="G57" s="178"/>
      <c r="H57" s="178"/>
      <c r="I57" s="865"/>
      <c r="J57" s="866"/>
      <c r="K57" s="205" t="s">
        <v>131</v>
      </c>
      <c r="L57" s="116">
        <v>4250</v>
      </c>
      <c r="M57" s="116">
        <v>6898</v>
      </c>
      <c r="N57" s="116">
        <v>7529</v>
      </c>
      <c r="O57" s="116">
        <v>13264</v>
      </c>
      <c r="P57" s="116">
        <v>14341</v>
      </c>
      <c r="Q57" s="116">
        <v>15055</v>
      </c>
      <c r="R57" s="116">
        <v>17143</v>
      </c>
      <c r="S57" s="116">
        <v>17751.733333333334</v>
      </c>
      <c r="T57" s="116">
        <v>16395</v>
      </c>
      <c r="U57" s="116">
        <v>18375</v>
      </c>
      <c r="V57" s="116">
        <v>17169</v>
      </c>
      <c r="W57" s="212">
        <f t="shared" ref="W57:AF57" si="21">V57+W15-W37</f>
        <v>16053</v>
      </c>
      <c r="X57" s="116">
        <f t="shared" si="21"/>
        <v>14915</v>
      </c>
      <c r="Y57" s="116">
        <f t="shared" si="21"/>
        <v>13765</v>
      </c>
      <c r="Z57" s="116">
        <f t="shared" si="21"/>
        <v>12558</v>
      </c>
      <c r="AA57" s="116">
        <f t="shared" si="21"/>
        <v>11278</v>
      </c>
      <c r="AB57" s="116">
        <f t="shared" si="21"/>
        <v>9960</v>
      </c>
      <c r="AC57" s="212">
        <f t="shared" si="21"/>
        <v>8602</v>
      </c>
      <c r="AD57" s="257">
        <f t="shared" si="21"/>
        <v>7204</v>
      </c>
      <c r="AE57" s="116">
        <f t="shared" si="21"/>
        <v>5778</v>
      </c>
      <c r="AF57" s="116">
        <f t="shared" si="21"/>
        <v>4323</v>
      </c>
      <c r="AG57" s="7"/>
      <c r="AH57" s="7"/>
    </row>
    <row r="58" spans="1:34" ht="12.75">
      <c r="A58" s="902" t="s">
        <v>132</v>
      </c>
      <c r="B58" s="260" t="s">
        <v>133</v>
      </c>
      <c r="C58" s="255">
        <v>2903</v>
      </c>
      <c r="D58" s="256">
        <f t="shared" si="10"/>
        <v>2849</v>
      </c>
      <c r="E58" s="256">
        <f t="shared" si="7"/>
        <v>8</v>
      </c>
      <c r="F58" s="178"/>
      <c r="G58" s="178"/>
      <c r="H58" s="178"/>
      <c r="I58" s="865"/>
      <c r="J58" s="893" t="s">
        <v>132</v>
      </c>
      <c r="K58" s="210" t="s">
        <v>133</v>
      </c>
      <c r="L58" s="116">
        <v>2648</v>
      </c>
      <c r="M58" s="116">
        <v>3114</v>
      </c>
      <c r="N58" s="116">
        <v>2602</v>
      </c>
      <c r="O58" s="116">
        <v>2045</v>
      </c>
      <c r="P58" s="116">
        <v>1299</v>
      </c>
      <c r="Q58" s="116">
        <v>945</v>
      </c>
      <c r="R58" s="116">
        <v>709</v>
      </c>
      <c r="S58" s="116">
        <v>467.5333333333333</v>
      </c>
      <c r="T58" s="116">
        <v>259</v>
      </c>
      <c r="U58" s="116">
        <v>3100.2</v>
      </c>
      <c r="V58" s="116">
        <v>2985</v>
      </c>
      <c r="W58" s="212">
        <f t="shared" ref="W58:AF58" si="22">V58+W16-W38</f>
        <v>2841</v>
      </c>
      <c r="X58" s="116">
        <f t="shared" si="22"/>
        <v>2685</v>
      </c>
      <c r="Y58" s="116">
        <f t="shared" si="22"/>
        <v>2525</v>
      </c>
      <c r="Z58" s="116">
        <f t="shared" si="22"/>
        <v>2358</v>
      </c>
      <c r="AA58" s="116">
        <f t="shared" si="22"/>
        <v>2181</v>
      </c>
      <c r="AB58" s="116">
        <f t="shared" si="22"/>
        <v>1996</v>
      </c>
      <c r="AC58" s="212">
        <f t="shared" si="22"/>
        <v>1807</v>
      </c>
      <c r="AD58" s="257">
        <f t="shared" si="22"/>
        <v>1612</v>
      </c>
      <c r="AE58" s="116">
        <f t="shared" si="22"/>
        <v>1411</v>
      </c>
      <c r="AF58" s="116">
        <f t="shared" si="22"/>
        <v>1202</v>
      </c>
      <c r="AG58" s="7"/>
      <c r="AH58" s="7"/>
    </row>
    <row r="59" spans="1:34" ht="12.75">
      <c r="A59" s="866"/>
      <c r="B59" s="260" t="s">
        <v>134</v>
      </c>
      <c r="C59" s="255">
        <v>735</v>
      </c>
      <c r="D59" s="256">
        <f t="shared" si="10"/>
        <v>693.19354838709683</v>
      </c>
      <c r="E59" s="256">
        <f t="shared" si="7"/>
        <v>-17.806451612903174</v>
      </c>
      <c r="F59" s="178"/>
      <c r="G59" s="178"/>
      <c r="H59" s="178"/>
      <c r="I59" s="865"/>
      <c r="J59" s="866"/>
      <c r="K59" s="210" t="s">
        <v>134</v>
      </c>
      <c r="L59" s="116">
        <v>548</v>
      </c>
      <c r="M59" s="116">
        <v>422</v>
      </c>
      <c r="N59" s="116">
        <v>1326</v>
      </c>
      <c r="O59" s="116">
        <v>2131</v>
      </c>
      <c r="P59" s="116">
        <v>1915</v>
      </c>
      <c r="Q59" s="116">
        <v>1683</v>
      </c>
      <c r="R59" s="116">
        <v>1573</v>
      </c>
      <c r="S59" s="116">
        <v>1417.5333333333333</v>
      </c>
      <c r="T59" s="116">
        <v>1175</v>
      </c>
      <c r="U59" s="116">
        <v>965.93333333333328</v>
      </c>
      <c r="V59" s="116">
        <v>807</v>
      </c>
      <c r="W59" s="212">
        <f t="shared" ref="W59:Y59" si="23">V59+W17-W39</f>
        <v>711</v>
      </c>
      <c r="X59" s="116">
        <f t="shared" si="23"/>
        <v>594</v>
      </c>
      <c r="Y59" s="116">
        <f t="shared" si="23"/>
        <v>491</v>
      </c>
      <c r="Z59" s="214">
        <v>0</v>
      </c>
      <c r="AA59" s="116">
        <f t="shared" ref="AA59:AF59" si="24">Z59+AA17-AA39</f>
        <v>900</v>
      </c>
      <c r="AB59" s="116">
        <f t="shared" si="24"/>
        <v>787</v>
      </c>
      <c r="AC59" s="212">
        <f t="shared" si="24"/>
        <v>677</v>
      </c>
      <c r="AD59" s="257">
        <f t="shared" si="24"/>
        <v>563</v>
      </c>
      <c r="AE59" s="116">
        <f t="shared" si="24"/>
        <v>445</v>
      </c>
      <c r="AF59" s="116">
        <f t="shared" si="24"/>
        <v>326</v>
      </c>
      <c r="AG59" s="7"/>
      <c r="AH59" s="7"/>
    </row>
    <row r="60" spans="1:34" ht="12.75">
      <c r="A60" s="903" t="s">
        <v>135</v>
      </c>
      <c r="B60" s="261" t="s">
        <v>136</v>
      </c>
      <c r="C60" s="255">
        <v>12648</v>
      </c>
      <c r="D60" s="256">
        <f t="shared" si="10"/>
        <v>12380.612903225807</v>
      </c>
      <c r="E60" s="256">
        <f t="shared" si="7"/>
        <v>-114.3870967741932</v>
      </c>
      <c r="F60" s="178"/>
      <c r="G60" s="178"/>
      <c r="H60" s="178"/>
      <c r="I60" s="865"/>
      <c r="J60" s="895" t="s">
        <v>135</v>
      </c>
      <c r="K60" s="217" t="s">
        <v>136</v>
      </c>
      <c r="L60" s="117">
        <v>0</v>
      </c>
      <c r="M60" s="117">
        <v>0</v>
      </c>
      <c r="N60" s="117">
        <v>3431</v>
      </c>
      <c r="O60" s="117">
        <v>3423</v>
      </c>
      <c r="P60" s="117">
        <v>6159</v>
      </c>
      <c r="Q60" s="117">
        <v>12623</v>
      </c>
      <c r="R60" s="117">
        <v>12311</v>
      </c>
      <c r="S60" s="117">
        <v>11888</v>
      </c>
      <c r="T60" s="117">
        <v>11535</v>
      </c>
      <c r="U60" s="262">
        <v>13854</v>
      </c>
      <c r="V60" s="262">
        <v>13163</v>
      </c>
      <c r="W60" s="212">
        <f t="shared" ref="W60:W62" si="25">V60+W18-W40</f>
        <v>12495</v>
      </c>
      <c r="X60" s="263">
        <f>W60+X18-X40-1100</f>
        <v>10437</v>
      </c>
      <c r="Y60" s="264">
        <f>X60+Y18-Y40-5600</f>
        <v>3870</v>
      </c>
      <c r="Z60" s="262">
        <f>Y60+Z18-Z40</f>
        <v>2893</v>
      </c>
      <c r="AA60" s="265">
        <f t="shared" ref="AA60:AA61" si="26">Z60+AA18-AA40-2000</f>
        <v>-94</v>
      </c>
      <c r="AB60" s="265">
        <f t="shared" ref="AB60:AC60" si="27">AA60+AB18-AB40</f>
        <v>2331</v>
      </c>
      <c r="AC60" s="212">
        <f t="shared" si="27"/>
        <v>1304</v>
      </c>
      <c r="AD60" s="257">
        <f t="shared" ref="AD60:AF60" si="28">AC60+AD18-AD40-1000</f>
        <v>-743</v>
      </c>
      <c r="AE60" s="116">
        <f t="shared" si="28"/>
        <v>-2811</v>
      </c>
      <c r="AF60" s="116">
        <f t="shared" si="28"/>
        <v>-4901</v>
      </c>
      <c r="AG60" s="7"/>
      <c r="AH60" s="7"/>
    </row>
    <row r="61" spans="1:34" ht="12.75">
      <c r="A61" s="865"/>
      <c r="B61" s="261" t="s">
        <v>137</v>
      </c>
      <c r="C61" s="255">
        <v>12520</v>
      </c>
      <c r="D61" s="256">
        <f t="shared" si="10"/>
        <v>12216.612903225807</v>
      </c>
      <c r="E61" s="256">
        <f t="shared" si="7"/>
        <v>-126.3870967741932</v>
      </c>
      <c r="F61" s="178"/>
      <c r="G61" s="178"/>
      <c r="H61" s="178"/>
      <c r="I61" s="865"/>
      <c r="J61" s="865"/>
      <c r="K61" s="217" t="s">
        <v>137</v>
      </c>
      <c r="L61" s="117">
        <v>0</v>
      </c>
      <c r="M61" s="117">
        <v>0</v>
      </c>
      <c r="N61" s="117">
        <v>3431</v>
      </c>
      <c r="O61" s="117">
        <v>3415</v>
      </c>
      <c r="P61" s="117">
        <v>6143</v>
      </c>
      <c r="Q61" s="117">
        <v>12719</v>
      </c>
      <c r="R61" s="117">
        <v>12455</v>
      </c>
      <c r="S61" s="117">
        <v>12059</v>
      </c>
      <c r="T61" s="117">
        <v>11639</v>
      </c>
      <c r="U61" s="266">
        <v>13860</v>
      </c>
      <c r="V61" s="266">
        <v>13059</v>
      </c>
      <c r="W61" s="212">
        <f t="shared" si="25"/>
        <v>12343</v>
      </c>
      <c r="X61" s="263">
        <f t="shared" ref="X61:X62" si="29">W61+X19-X41-600</f>
        <v>10635</v>
      </c>
      <c r="Y61" s="267">
        <f t="shared" ref="Y61:Y62" si="30">X61+Y19-Y41</f>
        <v>9504</v>
      </c>
      <c r="Z61" s="265">
        <f>Y61+Z19-Z41-4900</f>
        <v>3462</v>
      </c>
      <c r="AA61" s="265">
        <f t="shared" si="26"/>
        <v>309</v>
      </c>
      <c r="AB61" s="265">
        <f t="shared" ref="AB61:AC61" si="31">AA61+AB19-AB41</f>
        <v>2553</v>
      </c>
      <c r="AC61" s="212">
        <f t="shared" si="31"/>
        <v>1341</v>
      </c>
      <c r="AD61" s="257">
        <f t="shared" ref="AD61:AF61" si="32">AC61+AD19-AD41-100</f>
        <v>5</v>
      </c>
      <c r="AE61" s="116">
        <f t="shared" si="32"/>
        <v>-1356</v>
      </c>
      <c r="AF61" s="116">
        <f t="shared" si="32"/>
        <v>-2742</v>
      </c>
      <c r="AG61" s="7"/>
      <c r="AH61" s="7"/>
    </row>
    <row r="62" spans="1:34" ht="12.75">
      <c r="A62" s="865"/>
      <c r="B62" s="261" t="s">
        <v>138</v>
      </c>
      <c r="C62" s="255">
        <v>5432</v>
      </c>
      <c r="D62" s="256">
        <f t="shared" si="10"/>
        <v>5172.1612903225805</v>
      </c>
      <c r="E62" s="256">
        <f t="shared" si="7"/>
        <v>172.1612903225805</v>
      </c>
      <c r="F62" s="178"/>
      <c r="G62" s="178"/>
      <c r="H62" s="178"/>
      <c r="I62" s="865"/>
      <c r="J62" s="865"/>
      <c r="K62" s="217" t="s">
        <v>138</v>
      </c>
      <c r="L62" s="117">
        <v>0</v>
      </c>
      <c r="M62" s="117">
        <v>0</v>
      </c>
      <c r="N62" s="117">
        <v>3431</v>
      </c>
      <c r="O62" s="117">
        <v>3375</v>
      </c>
      <c r="P62" s="117">
        <v>6003</v>
      </c>
      <c r="Q62" s="117">
        <v>5547</v>
      </c>
      <c r="R62" s="117">
        <v>5219</v>
      </c>
      <c r="S62" s="117">
        <v>4902</v>
      </c>
      <c r="T62" s="117">
        <v>4659</v>
      </c>
      <c r="U62" s="116">
        <v>6784</v>
      </c>
      <c r="V62" s="116">
        <v>5748</v>
      </c>
      <c r="W62" s="258">
        <f t="shared" si="25"/>
        <v>5000</v>
      </c>
      <c r="X62" s="263">
        <f t="shared" si="29"/>
        <v>3469</v>
      </c>
      <c r="Y62" s="267">
        <f t="shared" si="30"/>
        <v>2519</v>
      </c>
      <c r="Z62" s="267">
        <f t="shared" ref="Z62:AA62" si="33">Y62+Z20-Z42</f>
        <v>1559</v>
      </c>
      <c r="AA62" s="116">
        <f t="shared" si="33"/>
        <v>590</v>
      </c>
      <c r="AB62" s="116">
        <f>AA62+AB20-AB42-500</f>
        <v>5956</v>
      </c>
      <c r="AC62" s="212">
        <f>AB62+AC20-AC42</f>
        <v>4938</v>
      </c>
      <c r="AD62" s="257">
        <f t="shared" ref="AD62:AF62" si="34">AC62+AD20-AD42-2200</f>
        <v>1699</v>
      </c>
      <c r="AE62" s="116">
        <f t="shared" si="34"/>
        <v>-1560</v>
      </c>
      <c r="AF62" s="116">
        <f t="shared" si="34"/>
        <v>-4841</v>
      </c>
      <c r="AG62" s="7"/>
      <c r="AH62" s="7"/>
    </row>
    <row r="63" spans="1:34" ht="12.75">
      <c r="A63" s="866"/>
      <c r="B63" s="261" t="s">
        <v>139</v>
      </c>
      <c r="C63" s="255">
        <v>3212</v>
      </c>
      <c r="D63" s="256">
        <f t="shared" si="10"/>
        <v>2978.2903225806454</v>
      </c>
      <c r="E63" s="256">
        <f t="shared" si="7"/>
        <v>-661.70967741935465</v>
      </c>
      <c r="F63" s="178"/>
      <c r="G63" s="178"/>
      <c r="H63" s="178"/>
      <c r="I63" s="866"/>
      <c r="J63" s="866"/>
      <c r="K63" s="217" t="s">
        <v>139</v>
      </c>
      <c r="L63" s="117">
        <v>0</v>
      </c>
      <c r="M63" s="117">
        <v>0</v>
      </c>
      <c r="N63" s="117">
        <v>3408</v>
      </c>
      <c r="O63" s="117">
        <v>3320</v>
      </c>
      <c r="P63" s="117">
        <v>5680</v>
      </c>
      <c r="Q63" s="117">
        <v>5320</v>
      </c>
      <c r="R63" s="117">
        <v>4936</v>
      </c>
      <c r="S63" s="117">
        <v>4713</v>
      </c>
      <c r="T63" s="117">
        <v>4400</v>
      </c>
      <c r="U63" s="266">
        <v>6540</v>
      </c>
      <c r="V63" s="266">
        <v>6140</v>
      </c>
      <c r="W63" s="212">
        <f>V63+W21-W43-1800</f>
        <v>3640</v>
      </c>
      <c r="X63" s="144">
        <f t="shared" ref="X63:Y63" si="35">W63+X21-X43</f>
        <v>2843</v>
      </c>
      <c r="Y63" s="267">
        <f t="shared" si="35"/>
        <v>2038</v>
      </c>
      <c r="Z63" s="264">
        <f>Y63+Z21-Z43-1000</f>
        <v>225</v>
      </c>
      <c r="AA63" s="116">
        <f t="shared" ref="AA63:AB63" si="36">Z63+AA21-AA43</f>
        <v>-596</v>
      </c>
      <c r="AB63" s="116">
        <f t="shared" si="36"/>
        <v>5431</v>
      </c>
      <c r="AC63" s="212">
        <f>AB63+AC21-AC43-3000</f>
        <v>1577</v>
      </c>
      <c r="AD63" s="257">
        <f t="shared" ref="AD63:AF63" si="37">AC63+AD21-AD43</f>
        <v>706</v>
      </c>
      <c r="AE63" s="116">
        <f t="shared" si="37"/>
        <v>-183</v>
      </c>
      <c r="AF63" s="116">
        <f t="shared" si="37"/>
        <v>-1089</v>
      </c>
      <c r="AG63" s="7"/>
      <c r="AH63" s="7"/>
    </row>
    <row r="64" spans="1:34" ht="12.75">
      <c r="F64" s="178"/>
      <c r="G64" s="178"/>
      <c r="H64" s="178"/>
      <c r="I64" s="268"/>
      <c r="J64" s="896" t="s">
        <v>38</v>
      </c>
      <c r="K64" s="860"/>
      <c r="L64" s="270">
        <f t="shared" ref="L64:AF64" si="38">SUM(L48:L63)</f>
        <v>129874</v>
      </c>
      <c r="M64" s="270">
        <f t="shared" si="38"/>
        <v>150160</v>
      </c>
      <c r="N64" s="270">
        <f t="shared" si="38"/>
        <v>183362</v>
      </c>
      <c r="O64" s="270">
        <f t="shared" si="38"/>
        <v>267173</v>
      </c>
      <c r="P64" s="270">
        <f t="shared" si="38"/>
        <v>293785</v>
      </c>
      <c r="Q64" s="270">
        <f t="shared" si="38"/>
        <v>275253</v>
      </c>
      <c r="R64" s="270">
        <f t="shared" si="38"/>
        <v>268277</v>
      </c>
      <c r="S64" s="270">
        <f t="shared" si="38"/>
        <v>340767.24</v>
      </c>
      <c r="T64" s="270">
        <f t="shared" si="38"/>
        <v>353779</v>
      </c>
      <c r="U64" s="270">
        <f t="shared" si="38"/>
        <v>381969.80000000005</v>
      </c>
      <c r="V64" s="270">
        <f t="shared" si="38"/>
        <v>358282</v>
      </c>
      <c r="W64" s="271">
        <f t="shared" si="38"/>
        <v>334875</v>
      </c>
      <c r="X64" s="270">
        <f t="shared" si="38"/>
        <v>315777</v>
      </c>
      <c r="Y64" s="270">
        <f t="shared" si="38"/>
        <v>285700</v>
      </c>
      <c r="Z64" s="270">
        <f t="shared" si="38"/>
        <v>253729</v>
      </c>
      <c r="AA64" s="270">
        <f t="shared" si="38"/>
        <v>222400</v>
      </c>
      <c r="AB64" s="270">
        <f t="shared" si="38"/>
        <v>210023</v>
      </c>
      <c r="AC64" s="271">
        <f t="shared" si="38"/>
        <v>177654</v>
      </c>
      <c r="AD64" s="272">
        <f t="shared" si="38"/>
        <v>145597</v>
      </c>
      <c r="AE64" s="270">
        <f t="shared" si="38"/>
        <v>96373</v>
      </c>
      <c r="AF64" s="270">
        <f t="shared" si="38"/>
        <v>59541</v>
      </c>
      <c r="AG64" s="7"/>
      <c r="AH64" s="7"/>
    </row>
    <row r="65" spans="1:34" ht="12.75">
      <c r="A65" s="178"/>
      <c r="B65" s="178"/>
      <c r="C65" s="249"/>
      <c r="D65" s="178"/>
      <c r="E65" s="178"/>
      <c r="F65" s="178"/>
      <c r="G65" s="178"/>
      <c r="H65" s="178"/>
      <c r="I65" s="273"/>
      <c r="J65" s="273"/>
      <c r="K65" s="273"/>
      <c r="L65" s="183"/>
      <c r="M65" s="183"/>
      <c r="N65" s="183"/>
      <c r="O65" s="183"/>
      <c r="P65" s="183"/>
      <c r="Q65" s="183"/>
      <c r="R65" s="183"/>
      <c r="S65" s="183"/>
      <c r="T65" s="183"/>
      <c r="W65" s="183"/>
      <c r="X65" s="183"/>
      <c r="Y65" s="183"/>
      <c r="Z65" s="183"/>
      <c r="AG65" s="7"/>
      <c r="AH65" s="7"/>
    </row>
    <row r="66" spans="1:34" ht="12.75">
      <c r="A66" s="178"/>
      <c r="B66" s="178"/>
      <c r="C66" s="178"/>
      <c r="D66" s="178"/>
      <c r="E66" s="178"/>
      <c r="F66" s="178"/>
      <c r="G66" s="178"/>
      <c r="H66" s="178"/>
      <c r="I66" s="180"/>
      <c r="J66" s="180"/>
      <c r="K66" s="180"/>
      <c r="AG66" s="7"/>
      <c r="AH66" s="7"/>
    </row>
    <row r="67" spans="1:34" ht="12.75" outlineLevel="1">
      <c r="A67" s="178"/>
      <c r="B67" s="178"/>
      <c r="C67" s="178"/>
      <c r="D67" s="178"/>
      <c r="E67" s="178"/>
      <c r="F67" s="178"/>
      <c r="G67" s="178"/>
      <c r="H67" s="178"/>
      <c r="I67" s="897" t="s">
        <v>56</v>
      </c>
      <c r="J67" s="862"/>
      <c r="K67" s="862"/>
      <c r="L67" s="269" t="s">
        <v>14</v>
      </c>
      <c r="M67" s="269" t="s">
        <v>15</v>
      </c>
      <c r="N67" s="269" t="s">
        <v>16</v>
      </c>
      <c r="O67" s="269" t="s">
        <v>17</v>
      </c>
      <c r="P67" s="269" t="s">
        <v>18</v>
      </c>
      <c r="Q67" s="269" t="s">
        <v>19</v>
      </c>
      <c r="R67" s="269" t="s">
        <v>20</v>
      </c>
      <c r="S67" s="269" t="s">
        <v>21</v>
      </c>
      <c r="T67" s="269" t="s">
        <v>22</v>
      </c>
      <c r="U67" s="269" t="s">
        <v>23</v>
      </c>
      <c r="V67" s="269" t="s">
        <v>107</v>
      </c>
      <c r="W67" s="274" t="s">
        <v>25</v>
      </c>
      <c r="X67" s="269" t="s">
        <v>26</v>
      </c>
      <c r="Y67" s="269" t="s">
        <v>15</v>
      </c>
      <c r="Z67" s="269" t="s">
        <v>16</v>
      </c>
      <c r="AA67" s="269" t="s">
        <v>17</v>
      </c>
      <c r="AB67" s="269" t="s">
        <v>18</v>
      </c>
      <c r="AC67" s="274" t="s">
        <v>19</v>
      </c>
      <c r="AD67" s="252" t="s">
        <v>20</v>
      </c>
      <c r="AE67" s="253" t="s">
        <v>21</v>
      </c>
      <c r="AF67" s="253" t="s">
        <v>22</v>
      </c>
      <c r="AG67" s="7"/>
      <c r="AH67" s="7"/>
    </row>
    <row r="68" spans="1:34" ht="12.75" outlineLevel="1">
      <c r="A68" s="178"/>
      <c r="B68" s="178"/>
      <c r="C68" s="178"/>
      <c r="D68" s="178"/>
      <c r="E68" s="178"/>
      <c r="F68" s="178"/>
      <c r="G68" s="178"/>
      <c r="H68" s="178"/>
      <c r="I68" s="912" t="s">
        <v>57</v>
      </c>
      <c r="J68" s="891" t="s">
        <v>27</v>
      </c>
      <c r="K68" s="190" t="s">
        <v>110</v>
      </c>
      <c r="L68" s="136">
        <f t="shared" ref="L68:AF68" si="39">L48/L28</f>
        <v>5.7098591549295774</v>
      </c>
      <c r="M68" s="136">
        <f t="shared" si="39"/>
        <v>7.324435318275154</v>
      </c>
      <c r="N68" s="136">
        <f t="shared" si="39"/>
        <v>5.4881516587677721</v>
      </c>
      <c r="O68" s="136">
        <f t="shared" si="39"/>
        <v>4.2859154929577468</v>
      </c>
      <c r="P68" s="136">
        <f t="shared" si="39"/>
        <v>3.2477558348294435</v>
      </c>
      <c r="Q68" s="136">
        <f t="shared" si="39"/>
        <v>10.903553299492385</v>
      </c>
      <c r="R68" s="136">
        <f t="shared" si="39"/>
        <v>14.30379746835443</v>
      </c>
      <c r="S68" s="136">
        <f t="shared" si="39"/>
        <v>16.828571428571429</v>
      </c>
      <c r="T68" s="136">
        <f t="shared" si="39"/>
        <v>43.61904761904762</v>
      </c>
      <c r="U68" s="136">
        <f t="shared" si="39"/>
        <v>25.305035971223024</v>
      </c>
      <c r="V68" s="136">
        <f t="shared" si="39"/>
        <v>23.971830985915492</v>
      </c>
      <c r="W68" s="137">
        <f t="shared" si="39"/>
        <v>16.105527638190956</v>
      </c>
      <c r="X68" s="136">
        <f t="shared" si="39"/>
        <v>19.811688311688311</v>
      </c>
      <c r="Y68" s="136">
        <f t="shared" si="39"/>
        <v>19.205298013245034</v>
      </c>
      <c r="Z68" s="136">
        <f t="shared" si="39"/>
        <v>15.571428571428571</v>
      </c>
      <c r="AA68" s="136">
        <f t="shared" si="39"/>
        <v>12.693467336683417</v>
      </c>
      <c r="AB68" s="136">
        <f t="shared" si="39"/>
        <v>8.6860986547085197</v>
      </c>
      <c r="AC68" s="137">
        <f t="shared" si="39"/>
        <v>6.9711934156378597</v>
      </c>
      <c r="AD68" s="275">
        <f t="shared" si="39"/>
        <v>5.5658914728682172</v>
      </c>
      <c r="AE68" s="136">
        <f t="shared" si="39"/>
        <v>1.8962962962962964</v>
      </c>
      <c r="AF68" s="136">
        <f t="shared" si="39"/>
        <v>0.65836298932384341</v>
      </c>
      <c r="AG68" s="7"/>
      <c r="AH68" s="7"/>
    </row>
    <row r="69" spans="1:34" ht="12.75" outlineLevel="1">
      <c r="A69" s="178"/>
      <c r="B69" s="178"/>
      <c r="C69" s="178"/>
      <c r="D69" s="178"/>
      <c r="E69" s="178"/>
      <c r="F69" s="178"/>
      <c r="G69" s="178"/>
      <c r="H69" s="178"/>
      <c r="I69" s="865"/>
      <c r="J69" s="865"/>
      <c r="K69" s="190">
        <v>1</v>
      </c>
      <c r="L69" s="136">
        <f t="shared" ref="L69:AF69" si="40">L49/L29</f>
        <v>0.61338991041961344</v>
      </c>
      <c r="M69" s="136">
        <f t="shared" si="40"/>
        <v>0</v>
      </c>
      <c r="N69" s="136">
        <f t="shared" si="40"/>
        <v>1.4469525959367946</v>
      </c>
      <c r="O69" s="136">
        <f t="shared" si="40"/>
        <v>2.8421658986175116</v>
      </c>
      <c r="P69" s="136">
        <f t="shared" si="40"/>
        <v>3.5950029052876236</v>
      </c>
      <c r="Q69" s="136">
        <f t="shared" si="40"/>
        <v>11.243440233236152</v>
      </c>
      <c r="R69" s="136">
        <f t="shared" si="40"/>
        <v>12.853115727002967</v>
      </c>
      <c r="S69" s="136">
        <f t="shared" si="40"/>
        <v>9.7776137761377608</v>
      </c>
      <c r="T69" s="136">
        <f t="shared" si="40"/>
        <v>14.594377510040161</v>
      </c>
      <c r="U69" s="136">
        <f t="shared" si="40"/>
        <v>13.921579430670342</v>
      </c>
      <c r="V69" s="136">
        <f t="shared" si="40"/>
        <v>15.156739811912226</v>
      </c>
      <c r="W69" s="137">
        <f t="shared" si="40"/>
        <v>10.48456057007126</v>
      </c>
      <c r="X69" s="136">
        <f t="shared" si="40"/>
        <v>12.295180722891565</v>
      </c>
      <c r="Y69" s="136">
        <f t="shared" si="40"/>
        <v>11.426179604261796</v>
      </c>
      <c r="Z69" s="136">
        <f t="shared" si="40"/>
        <v>9.7704447632711613</v>
      </c>
      <c r="AA69" s="136">
        <f t="shared" si="40"/>
        <v>8.316005471956224</v>
      </c>
      <c r="AB69" s="136">
        <f t="shared" si="40"/>
        <v>6.5085413929040739</v>
      </c>
      <c r="AC69" s="137">
        <f t="shared" si="40"/>
        <v>3.2681992337164751</v>
      </c>
      <c r="AD69" s="275">
        <f t="shared" si="40"/>
        <v>2.202753441802253</v>
      </c>
      <c r="AE69" s="136">
        <f t="shared" si="40"/>
        <v>-2.3122721749696233</v>
      </c>
      <c r="AF69" s="136">
        <f t="shared" si="40"/>
        <v>-3.2654761904761904</v>
      </c>
      <c r="AG69" s="7"/>
      <c r="AH69" s="7"/>
    </row>
    <row r="70" spans="1:34" ht="12.75" outlineLevel="1">
      <c r="A70" s="178"/>
      <c r="B70" s="178"/>
      <c r="C70" s="178"/>
      <c r="D70" s="178"/>
      <c r="E70" s="178"/>
      <c r="F70" s="178"/>
      <c r="G70" s="178"/>
      <c r="H70" s="178"/>
      <c r="I70" s="865"/>
      <c r="J70" s="865"/>
      <c r="K70" s="190" t="s">
        <v>119</v>
      </c>
      <c r="L70" s="136">
        <f t="shared" ref="L70:AF70" si="41">L50/L30</f>
        <v>5.3204144282425174</v>
      </c>
      <c r="M70" s="136">
        <f t="shared" si="41"/>
        <v>5.7006704980842908</v>
      </c>
      <c r="N70" s="136">
        <f t="shared" si="41"/>
        <v>5.6898876404494381</v>
      </c>
      <c r="O70" s="136">
        <f t="shared" si="41"/>
        <v>4.7923340961098395</v>
      </c>
      <c r="P70" s="136">
        <f t="shared" si="41"/>
        <v>10.0491452991453</v>
      </c>
      <c r="Q70" s="136">
        <f t="shared" si="41"/>
        <v>0</v>
      </c>
      <c r="R70" s="136">
        <f t="shared" si="41"/>
        <v>0</v>
      </c>
      <c r="S70" s="136">
        <f t="shared" si="41"/>
        <v>-2.6666666666666668E-4</v>
      </c>
      <c r="T70" s="136">
        <f t="shared" si="41"/>
        <v>21.299663299663301</v>
      </c>
      <c r="U70" s="136">
        <f t="shared" si="41"/>
        <v>20.901609195402298</v>
      </c>
      <c r="V70" s="136">
        <f t="shared" si="41"/>
        <v>19.183333333333334</v>
      </c>
      <c r="W70" s="137">
        <f t="shared" si="41"/>
        <v>15.926470588235293</v>
      </c>
      <c r="X70" s="136">
        <f t="shared" si="41"/>
        <v>28.865566037735849</v>
      </c>
      <c r="Y70" s="136">
        <f t="shared" si="41"/>
        <v>29.674185463659146</v>
      </c>
      <c r="Z70" s="136">
        <f t="shared" si="41"/>
        <v>26.728337236533957</v>
      </c>
      <c r="AA70" s="136">
        <f t="shared" si="41"/>
        <v>24.938636363636363</v>
      </c>
      <c r="AB70" s="136">
        <f t="shared" si="41"/>
        <v>26.160891089108912</v>
      </c>
      <c r="AC70" s="137">
        <f t="shared" si="41"/>
        <v>24.590799031476998</v>
      </c>
      <c r="AD70" s="275">
        <f t="shared" si="41"/>
        <v>19.352705410821642</v>
      </c>
      <c r="AE70" s="136">
        <f t="shared" si="41"/>
        <v>9.8154574132492112</v>
      </c>
      <c r="AF70" s="136">
        <f t="shared" si="41"/>
        <v>8.3438438438438443</v>
      </c>
      <c r="AG70" s="7"/>
      <c r="AH70" s="7"/>
    </row>
    <row r="71" spans="1:34" ht="12.75" outlineLevel="1">
      <c r="A71" s="178"/>
      <c r="B71" s="178"/>
      <c r="C71" s="178"/>
      <c r="D71" s="178"/>
      <c r="E71" s="178"/>
      <c r="F71" s="178"/>
      <c r="G71" s="178"/>
      <c r="H71" s="178"/>
      <c r="I71" s="865"/>
      <c r="J71" s="865"/>
      <c r="K71" s="190">
        <v>2</v>
      </c>
      <c r="L71" s="136">
        <f t="shared" ref="L71:AF71" si="42">L51/L31</f>
        <v>4.6736111111111107</v>
      </c>
      <c r="M71" s="136">
        <f t="shared" si="42"/>
        <v>4.3784000000000001</v>
      </c>
      <c r="N71" s="136">
        <f t="shared" si="42"/>
        <v>2.3857383492419988</v>
      </c>
      <c r="O71" s="136">
        <f t="shared" si="42"/>
        <v>1.5913255956017105</v>
      </c>
      <c r="P71" s="136">
        <f t="shared" si="42"/>
        <v>1.2612419700214133</v>
      </c>
      <c r="Q71" s="136">
        <f t="shared" si="42"/>
        <v>2.874265569917744</v>
      </c>
      <c r="R71" s="136">
        <f t="shared" si="42"/>
        <v>2.4641805691854759</v>
      </c>
      <c r="S71" s="136">
        <f t="shared" si="42"/>
        <v>0.82212786034442087</v>
      </c>
      <c r="T71" s="136">
        <f t="shared" si="42"/>
        <v>5.7226765799256505</v>
      </c>
      <c r="U71" s="136">
        <f t="shared" si="42"/>
        <v>5.4342237061769616</v>
      </c>
      <c r="V71" s="136">
        <f t="shared" si="42"/>
        <v>4.8236316246741966</v>
      </c>
      <c r="W71" s="137">
        <f t="shared" si="42"/>
        <v>5.1010989010989007</v>
      </c>
      <c r="X71" s="136">
        <f t="shared" si="42"/>
        <v>2.8395368072787428</v>
      </c>
      <c r="Y71" s="136">
        <f t="shared" si="42"/>
        <v>1.8970464135021097</v>
      </c>
      <c r="Z71" s="136">
        <f t="shared" si="42"/>
        <v>0.82467532467532467</v>
      </c>
      <c r="AA71" s="136">
        <f t="shared" si="42"/>
        <v>-0.19936958234830576</v>
      </c>
      <c r="AB71" s="136">
        <f t="shared" si="42"/>
        <v>-1.2012728719172634</v>
      </c>
      <c r="AC71" s="137">
        <f t="shared" si="42"/>
        <v>-2.2387202625102542</v>
      </c>
      <c r="AD71" s="275">
        <f t="shared" si="42"/>
        <v>-2.9465049928673324</v>
      </c>
      <c r="AE71" s="136">
        <f t="shared" si="42"/>
        <v>-3.7799461641991923</v>
      </c>
      <c r="AF71" s="136">
        <f t="shared" si="42"/>
        <v>-4.6688438928804699</v>
      </c>
      <c r="AG71" s="7"/>
      <c r="AH71" s="7"/>
    </row>
    <row r="72" spans="1:34" ht="12.75" outlineLevel="1">
      <c r="A72" s="178"/>
      <c r="B72" s="178"/>
      <c r="C72" s="178"/>
      <c r="D72" s="178"/>
      <c r="E72" s="178"/>
      <c r="F72" s="178"/>
      <c r="G72" s="178"/>
      <c r="H72" s="178"/>
      <c r="I72" s="865"/>
      <c r="J72" s="865"/>
      <c r="K72" s="190" t="s">
        <v>124</v>
      </c>
      <c r="L72" s="136">
        <f t="shared" ref="L72:AF72" si="43">L52/L32</f>
        <v>5.7105772956218521</v>
      </c>
      <c r="M72" s="136">
        <f t="shared" si="43"/>
        <v>5.5870624723083742</v>
      </c>
      <c r="N72" s="136">
        <f t="shared" si="43"/>
        <v>5.5256078634247281</v>
      </c>
      <c r="O72" s="136">
        <f t="shared" si="43"/>
        <v>3.7746982565936524</v>
      </c>
      <c r="P72" s="136">
        <f t="shared" si="43"/>
        <v>7.0178571428571432</v>
      </c>
      <c r="Q72" s="136">
        <f t="shared" si="43"/>
        <v>12.637376237623762</v>
      </c>
      <c r="R72" s="136">
        <f t="shared" si="43"/>
        <v>16.779538904899134</v>
      </c>
      <c r="S72" s="136">
        <f t="shared" si="43"/>
        <v>17.299475890985327</v>
      </c>
      <c r="T72" s="136">
        <f t="shared" si="43"/>
        <v>37.660472972972975</v>
      </c>
      <c r="U72" s="136">
        <f t="shared" si="43"/>
        <v>46.076949740034664</v>
      </c>
      <c r="V72" s="136">
        <f t="shared" si="43"/>
        <v>45.149046793760832</v>
      </c>
      <c r="W72" s="137">
        <f t="shared" si="43"/>
        <v>49.781676413255362</v>
      </c>
      <c r="X72" s="136">
        <f t="shared" si="43"/>
        <v>45.944852941176471</v>
      </c>
      <c r="Y72" s="136">
        <f t="shared" si="43"/>
        <v>46.88122605363985</v>
      </c>
      <c r="Z72" s="136">
        <f t="shared" si="43"/>
        <v>40.477966101694918</v>
      </c>
      <c r="AA72" s="136">
        <f t="shared" si="43"/>
        <v>34.331200000000003</v>
      </c>
      <c r="AB72" s="136">
        <f t="shared" si="43"/>
        <v>26.66231647634584</v>
      </c>
      <c r="AC72" s="137">
        <f t="shared" si="43"/>
        <v>26.194675540765392</v>
      </c>
      <c r="AD72" s="275">
        <f t="shared" si="43"/>
        <v>22.185567010309278</v>
      </c>
      <c r="AE72" s="136">
        <f t="shared" si="43"/>
        <v>5.3778337531486144</v>
      </c>
      <c r="AF72" s="136">
        <f t="shared" si="43"/>
        <v>0</v>
      </c>
      <c r="AG72" s="7"/>
      <c r="AH72" s="7"/>
    </row>
    <row r="73" spans="1:34" ht="12.75" outlineLevel="1">
      <c r="A73" s="178"/>
      <c r="B73" s="178"/>
      <c r="C73" s="178"/>
      <c r="D73" s="178"/>
      <c r="E73" s="178"/>
      <c r="F73" s="178"/>
      <c r="G73" s="178"/>
      <c r="H73" s="178"/>
      <c r="I73" s="865"/>
      <c r="J73" s="866"/>
      <c r="K73" s="190">
        <v>3</v>
      </c>
      <c r="L73" s="136">
        <f t="shared" ref="L73:AF73" si="44">L53/L33</f>
        <v>4.3348281016442454E-2</v>
      </c>
      <c r="M73" s="136">
        <f t="shared" si="44"/>
        <v>0</v>
      </c>
      <c r="N73" s="136">
        <f t="shared" si="44"/>
        <v>2.7726218097447797</v>
      </c>
      <c r="O73" s="136">
        <f t="shared" si="44"/>
        <v>1.4235880398671097</v>
      </c>
      <c r="P73" s="136">
        <f t="shared" si="44"/>
        <v>0.53309481216457966</v>
      </c>
      <c r="Q73" s="136">
        <f t="shared" si="44"/>
        <v>6.3529411764705879</v>
      </c>
      <c r="R73" s="136">
        <f t="shared" si="44"/>
        <v>0.80808080808080807</v>
      </c>
      <c r="S73" s="136">
        <f t="shared" si="44"/>
        <v>0</v>
      </c>
      <c r="T73" s="136">
        <f t="shared" si="44"/>
        <v>19.399999999999999</v>
      </c>
      <c r="U73" s="136">
        <f t="shared" si="44"/>
        <v>14.069841269841271</v>
      </c>
      <c r="V73" s="136">
        <f t="shared" si="44"/>
        <v>11.97427652733119</v>
      </c>
      <c r="W73" s="137">
        <f t="shared" si="44"/>
        <v>8.2636815920398003</v>
      </c>
      <c r="X73" s="136">
        <f t="shared" si="44"/>
        <v>9.3812499999999996</v>
      </c>
      <c r="Y73" s="136">
        <f t="shared" si="44"/>
        <v>8.2654320987654319</v>
      </c>
      <c r="Z73" s="136">
        <f t="shared" si="44"/>
        <v>7.1151515151515152</v>
      </c>
      <c r="AA73" s="136">
        <f t="shared" si="44"/>
        <v>5.9673590504451042</v>
      </c>
      <c r="AB73" s="136">
        <f t="shared" si="44"/>
        <v>4.9147058823529415</v>
      </c>
      <c r="AC73" s="137">
        <f t="shared" si="44"/>
        <v>3.8155619596541785</v>
      </c>
      <c r="AD73" s="275">
        <f t="shared" si="44"/>
        <v>2.7828571428571429</v>
      </c>
      <c r="AE73" s="136">
        <f t="shared" si="44"/>
        <v>1.7282913165266107</v>
      </c>
      <c r="AF73" s="136">
        <f t="shared" si="44"/>
        <v>0.69505494505494503</v>
      </c>
      <c r="AG73" s="7"/>
      <c r="AH73" s="7"/>
    </row>
    <row r="74" spans="1:34" ht="12.75" outlineLevel="1">
      <c r="A74" s="178"/>
      <c r="B74" s="178"/>
      <c r="C74" s="178"/>
      <c r="D74" s="178"/>
      <c r="E74" s="178"/>
      <c r="F74" s="178"/>
      <c r="G74" s="178"/>
      <c r="H74" s="178"/>
      <c r="I74" s="865"/>
      <c r="J74" s="892" t="s">
        <v>32</v>
      </c>
      <c r="K74" s="205" t="s">
        <v>110</v>
      </c>
      <c r="L74" s="136">
        <f t="shared" ref="L74:AF74" si="45">L54/L34</f>
        <v>1.3580718414533444</v>
      </c>
      <c r="M74" s="136">
        <f t="shared" si="45"/>
        <v>2.2514019806705643</v>
      </c>
      <c r="N74" s="136">
        <f t="shared" si="45"/>
        <v>1.7703956085557448</v>
      </c>
      <c r="O74" s="136">
        <f t="shared" si="45"/>
        <v>2.5280221957986524</v>
      </c>
      <c r="P74" s="136">
        <f t="shared" si="45"/>
        <v>3.255698625369758</v>
      </c>
      <c r="Q74" s="136">
        <f t="shared" si="45"/>
        <v>7.2572767636901823</v>
      </c>
      <c r="R74" s="136">
        <f t="shared" si="45"/>
        <v>10.766051364365971</v>
      </c>
      <c r="S74" s="136">
        <f t="shared" si="45"/>
        <v>22.539265536723164</v>
      </c>
      <c r="T74" s="136">
        <f t="shared" si="45"/>
        <v>20.113734750098388</v>
      </c>
      <c r="U74" s="136">
        <f t="shared" si="45"/>
        <v>19.837541221474741</v>
      </c>
      <c r="V74" s="136">
        <f t="shared" si="45"/>
        <v>18.670050761421319</v>
      </c>
      <c r="W74" s="137">
        <f t="shared" si="45"/>
        <v>18.019093078758949</v>
      </c>
      <c r="X74" s="136">
        <f t="shared" si="45"/>
        <v>15.998123827392121</v>
      </c>
      <c r="Y74" s="136">
        <f t="shared" si="45"/>
        <v>15.322741194486984</v>
      </c>
      <c r="Z74" s="136">
        <f t="shared" si="45"/>
        <v>13.192553191489361</v>
      </c>
      <c r="AA74" s="136">
        <f t="shared" si="45"/>
        <v>11.564336372847011</v>
      </c>
      <c r="AB74" s="136">
        <f t="shared" si="45"/>
        <v>10.117532467532467</v>
      </c>
      <c r="AC74" s="137">
        <f t="shared" si="45"/>
        <v>8.824085750315259</v>
      </c>
      <c r="AD74" s="275">
        <f t="shared" si="45"/>
        <v>7.5648714810281517</v>
      </c>
      <c r="AE74" s="136">
        <f t="shared" si="45"/>
        <v>6.2754561506768685</v>
      </c>
      <c r="AF74" s="136">
        <f t="shared" si="45"/>
        <v>5.0925714285714285</v>
      </c>
      <c r="AG74" s="7"/>
      <c r="AH74" s="7"/>
    </row>
    <row r="75" spans="1:34" ht="12.75" outlineLevel="1">
      <c r="A75" s="178"/>
      <c r="B75" s="178"/>
      <c r="C75" s="178"/>
      <c r="D75" s="178"/>
      <c r="E75" s="178"/>
      <c r="F75" s="178"/>
      <c r="G75" s="178"/>
      <c r="H75" s="178"/>
      <c r="I75" s="865"/>
      <c r="J75" s="865"/>
      <c r="K75" s="205">
        <v>1</v>
      </c>
      <c r="L75" s="136">
        <f t="shared" ref="L75:AF75" si="46">L55/L35</f>
        <v>2.5324308755760367</v>
      </c>
      <c r="M75" s="136">
        <f t="shared" si="46"/>
        <v>2.0801901743264661</v>
      </c>
      <c r="N75" s="136">
        <f t="shared" si="46"/>
        <v>1.5043729149761067</v>
      </c>
      <c r="O75" s="136">
        <f t="shared" si="46"/>
        <v>3.3939143190280965</v>
      </c>
      <c r="P75" s="136">
        <f t="shared" si="46"/>
        <v>4.128608805485384</v>
      </c>
      <c r="Q75" s="136">
        <f t="shared" si="46"/>
        <v>8.2584061424410908</v>
      </c>
      <c r="R75" s="136">
        <f t="shared" si="46"/>
        <v>11.640268729641694</v>
      </c>
      <c r="S75" s="136">
        <f t="shared" si="46"/>
        <v>16.936185969965027</v>
      </c>
      <c r="T75" s="136">
        <f t="shared" si="46"/>
        <v>15.549360511590727</v>
      </c>
      <c r="U75" s="136">
        <f t="shared" si="46"/>
        <v>17.673485488870103</v>
      </c>
      <c r="V75" s="136">
        <f t="shared" si="46"/>
        <v>15.386271087841768</v>
      </c>
      <c r="W75" s="137">
        <f t="shared" si="46"/>
        <v>14.625640015754234</v>
      </c>
      <c r="X75" s="136">
        <f t="shared" si="46"/>
        <v>12.006830122591944</v>
      </c>
      <c r="Y75" s="136">
        <f t="shared" si="46"/>
        <v>10.434122748499</v>
      </c>
      <c r="Z75" s="136">
        <f t="shared" si="46"/>
        <v>9.0325529185375242</v>
      </c>
      <c r="AA75" s="136">
        <f t="shared" si="46"/>
        <v>7.855054236755227</v>
      </c>
      <c r="AB75" s="136">
        <f t="shared" si="46"/>
        <v>6.6272324835902916</v>
      </c>
      <c r="AC75" s="137">
        <f t="shared" si="46"/>
        <v>5.4973061957497755</v>
      </c>
      <c r="AD75" s="275">
        <f t="shared" si="46"/>
        <v>4.389231220657277</v>
      </c>
      <c r="AE75" s="136">
        <f t="shared" si="46"/>
        <v>3.3458744915746661</v>
      </c>
      <c r="AF75" s="136">
        <f t="shared" si="46"/>
        <v>2.4138135467615238</v>
      </c>
      <c r="AG75" s="7"/>
      <c r="AH75" s="7"/>
    </row>
    <row r="76" spans="1:34" ht="12.75" outlineLevel="1">
      <c r="A76" s="178"/>
      <c r="B76" s="178"/>
      <c r="C76" s="178"/>
      <c r="D76" s="178"/>
      <c r="E76" s="178"/>
      <c r="F76" s="178"/>
      <c r="G76" s="178"/>
      <c r="H76" s="178"/>
      <c r="I76" s="865"/>
      <c r="J76" s="865"/>
      <c r="K76" s="205">
        <v>2</v>
      </c>
      <c r="L76" s="136">
        <f t="shared" ref="L76:AF76" si="47">L56/L36</f>
        <v>1.3641406856762455</v>
      </c>
      <c r="M76" s="136">
        <f t="shared" si="47"/>
        <v>3.4973684210526317</v>
      </c>
      <c r="N76" s="136">
        <f t="shared" si="47"/>
        <v>3.2350990525409129</v>
      </c>
      <c r="O76" s="136">
        <f t="shared" si="47"/>
        <v>3.1058631921824102</v>
      </c>
      <c r="P76" s="136">
        <f t="shared" si="47"/>
        <v>4.0245026571979494</v>
      </c>
      <c r="Q76" s="136">
        <f t="shared" si="47"/>
        <v>12.501232539030402</v>
      </c>
      <c r="R76" s="136">
        <f t="shared" si="47"/>
        <v>14.052391187533583</v>
      </c>
      <c r="S76" s="136">
        <f t="shared" si="47"/>
        <v>18.155981351981353</v>
      </c>
      <c r="T76" s="136">
        <f t="shared" si="47"/>
        <v>13.333705108186482</v>
      </c>
      <c r="U76" s="136">
        <f t="shared" si="47"/>
        <v>14.563719234275297</v>
      </c>
      <c r="V76" s="136">
        <f t="shared" si="47"/>
        <v>14.431876606683804</v>
      </c>
      <c r="W76" s="137">
        <f t="shared" si="47"/>
        <v>16.8060715903942</v>
      </c>
      <c r="X76" s="136">
        <f t="shared" si="47"/>
        <v>14.560481051601174</v>
      </c>
      <c r="Y76" s="136">
        <f t="shared" si="47"/>
        <v>13.137406653088934</v>
      </c>
      <c r="Z76" s="136">
        <f t="shared" si="47"/>
        <v>11.39362110926092</v>
      </c>
      <c r="AA76" s="136">
        <f t="shared" si="47"/>
        <v>9.9557827318635308</v>
      </c>
      <c r="AB76" s="136">
        <f t="shared" si="47"/>
        <v>8.6653114910917139</v>
      </c>
      <c r="AC76" s="137">
        <f t="shared" si="47"/>
        <v>7.4956623681125443</v>
      </c>
      <c r="AD76" s="275">
        <f t="shared" si="47"/>
        <v>6.2772592761211019</v>
      </c>
      <c r="AE76" s="136">
        <f t="shared" si="47"/>
        <v>5.1539834858290563</v>
      </c>
      <c r="AF76" s="136">
        <f t="shared" si="47"/>
        <v>4.0530576523356308</v>
      </c>
      <c r="AG76" s="7"/>
      <c r="AH76" s="7"/>
    </row>
    <row r="77" spans="1:34" ht="12.75" outlineLevel="1">
      <c r="A77" s="178"/>
      <c r="B77" s="178"/>
      <c r="C77" s="178"/>
      <c r="D77" s="178"/>
      <c r="E77" s="178"/>
      <c r="F77" s="178"/>
      <c r="G77" s="178"/>
      <c r="H77" s="178"/>
      <c r="I77" s="865"/>
      <c r="J77" s="866"/>
      <c r="K77" s="205" t="s">
        <v>131</v>
      </c>
      <c r="L77" s="136">
        <f t="shared" ref="L77:AF77" si="48">L57/L37</f>
        <v>1.9362186788154898</v>
      </c>
      <c r="M77" s="136">
        <f t="shared" si="48"/>
        <v>3.0849731663685152</v>
      </c>
      <c r="N77" s="136">
        <f t="shared" si="48"/>
        <v>2.8703774304231797</v>
      </c>
      <c r="O77" s="136">
        <f t="shared" si="48"/>
        <v>4.4257590924257588</v>
      </c>
      <c r="P77" s="136">
        <f t="shared" si="48"/>
        <v>5.6305457400863759</v>
      </c>
      <c r="Q77" s="136">
        <f t="shared" si="48"/>
        <v>11.118906942392909</v>
      </c>
      <c r="R77" s="136">
        <f t="shared" si="48"/>
        <v>13.20724191063174</v>
      </c>
      <c r="S77" s="136">
        <f t="shared" si="48"/>
        <v>14.362243797195253</v>
      </c>
      <c r="T77" s="136">
        <f t="shared" si="48"/>
        <v>11.40125173852573</v>
      </c>
      <c r="U77" s="136">
        <f t="shared" si="48"/>
        <v>12.585616438356164</v>
      </c>
      <c r="V77" s="136">
        <f t="shared" si="48"/>
        <v>12.334051724137931</v>
      </c>
      <c r="W77" s="137">
        <f t="shared" si="48"/>
        <v>14.384408602150538</v>
      </c>
      <c r="X77" s="136">
        <f t="shared" si="48"/>
        <v>13.106326889279437</v>
      </c>
      <c r="Y77" s="136">
        <f t="shared" si="48"/>
        <v>11.969565217391304</v>
      </c>
      <c r="Z77" s="136">
        <f t="shared" si="48"/>
        <v>10.404308202154102</v>
      </c>
      <c r="AA77" s="136">
        <f t="shared" si="48"/>
        <v>8.8109374999999996</v>
      </c>
      <c r="AB77" s="136">
        <f t="shared" si="48"/>
        <v>7.5569044006069799</v>
      </c>
      <c r="AC77" s="137">
        <f t="shared" si="48"/>
        <v>6.3343151693667155</v>
      </c>
      <c r="AD77" s="275">
        <f t="shared" si="48"/>
        <v>5.1530758226037197</v>
      </c>
      <c r="AE77" s="136">
        <f t="shared" si="48"/>
        <v>4.0518934081346423</v>
      </c>
      <c r="AF77" s="136">
        <f t="shared" si="48"/>
        <v>2.9711340206185568</v>
      </c>
      <c r="AG77" s="7"/>
      <c r="AH77" s="7"/>
    </row>
    <row r="78" spans="1:34" ht="12.75" outlineLevel="1">
      <c r="A78" s="178"/>
      <c r="B78" s="178"/>
      <c r="C78" s="178"/>
      <c r="D78" s="178"/>
      <c r="E78" s="178"/>
      <c r="F78" s="178"/>
      <c r="G78" s="178"/>
      <c r="H78" s="178"/>
      <c r="I78" s="865"/>
      <c r="J78" s="893" t="s">
        <v>132</v>
      </c>
      <c r="K78" s="210" t="s">
        <v>133</v>
      </c>
      <c r="L78" s="136">
        <f t="shared" ref="L78:AF78" si="49">L58/L38</f>
        <v>7.975903614457831</v>
      </c>
      <c r="M78" s="136">
        <f t="shared" si="49"/>
        <v>5.6413043478260869</v>
      </c>
      <c r="N78" s="136">
        <f t="shared" si="49"/>
        <v>5.1422924901185771</v>
      </c>
      <c r="O78" s="136">
        <f t="shared" si="49"/>
        <v>3.6780575539568345</v>
      </c>
      <c r="P78" s="136">
        <f t="shared" si="49"/>
        <v>1.7412868632707774</v>
      </c>
      <c r="Q78" s="136">
        <f t="shared" si="49"/>
        <v>2.6694915254237288</v>
      </c>
      <c r="R78" s="136">
        <f t="shared" si="49"/>
        <v>3.0042372881355934</v>
      </c>
      <c r="S78" s="136">
        <f t="shared" si="49"/>
        <v>2.015229885057471</v>
      </c>
      <c r="T78" s="136">
        <f t="shared" si="49"/>
        <v>1.1880733944954129</v>
      </c>
      <c r="U78" s="136">
        <f t="shared" si="49"/>
        <v>15.817346938775509</v>
      </c>
      <c r="V78" s="136">
        <f t="shared" si="49"/>
        <v>16.048387096774192</v>
      </c>
      <c r="W78" s="137">
        <f t="shared" si="49"/>
        <v>19.729166666666668</v>
      </c>
      <c r="X78" s="136">
        <f t="shared" si="49"/>
        <v>17.21153846153846</v>
      </c>
      <c r="Y78" s="136">
        <f t="shared" si="49"/>
        <v>15.78125</v>
      </c>
      <c r="Z78" s="136">
        <f t="shared" si="49"/>
        <v>14.119760479041917</v>
      </c>
      <c r="AA78" s="136">
        <f t="shared" si="49"/>
        <v>12.322033898305085</v>
      </c>
      <c r="AB78" s="136">
        <f t="shared" si="49"/>
        <v>10.789189189189189</v>
      </c>
      <c r="AC78" s="137">
        <f t="shared" si="49"/>
        <v>9.56084656084656</v>
      </c>
      <c r="AD78" s="275">
        <f t="shared" si="49"/>
        <v>8.2666666666666675</v>
      </c>
      <c r="AE78" s="136">
        <f t="shared" si="49"/>
        <v>7.0199004975124382</v>
      </c>
      <c r="AF78" s="136">
        <f t="shared" si="49"/>
        <v>5.7511961722488039</v>
      </c>
      <c r="AG78" s="7"/>
      <c r="AH78" s="7"/>
    </row>
    <row r="79" spans="1:34" ht="12.75" outlineLevel="1">
      <c r="A79" s="178"/>
      <c r="B79" s="178"/>
      <c r="C79" s="178"/>
      <c r="D79" s="178"/>
      <c r="E79" s="178"/>
      <c r="F79" s="178"/>
      <c r="G79" s="178"/>
      <c r="H79" s="178"/>
      <c r="I79" s="865"/>
      <c r="J79" s="866"/>
      <c r="K79" s="210" t="s">
        <v>134</v>
      </c>
      <c r="L79" s="136">
        <f t="shared" ref="L79:AF79" si="50">L59/L39</f>
        <v>3.1494252873563218</v>
      </c>
      <c r="M79" s="136">
        <f t="shared" si="50"/>
        <v>3.3492063492063493</v>
      </c>
      <c r="N79" s="136">
        <f t="shared" si="50"/>
        <v>10.868852459016393</v>
      </c>
      <c r="O79" s="136">
        <f t="shared" si="50"/>
        <v>10.549504950495049</v>
      </c>
      <c r="P79" s="136">
        <f t="shared" si="50"/>
        <v>8.8657407407407405</v>
      </c>
      <c r="Q79" s="136">
        <f t="shared" si="50"/>
        <v>7.2543103448275863</v>
      </c>
      <c r="R79" s="136">
        <f t="shared" si="50"/>
        <v>14.3</v>
      </c>
      <c r="S79" s="136">
        <f t="shared" si="50"/>
        <v>7.232312925170068</v>
      </c>
      <c r="T79" s="136">
        <f t="shared" si="50"/>
        <v>5.8168316831683171</v>
      </c>
      <c r="U79" s="136">
        <f t="shared" si="50"/>
        <v>4.4308868501529046</v>
      </c>
      <c r="V79" s="136">
        <f t="shared" si="50"/>
        <v>5.604166666666667</v>
      </c>
      <c r="W79" s="137">
        <f t="shared" si="50"/>
        <v>7.40625</v>
      </c>
      <c r="X79" s="136">
        <f t="shared" si="50"/>
        <v>5.0769230769230766</v>
      </c>
      <c r="Y79" s="136">
        <f t="shared" si="50"/>
        <v>4.766990291262136</v>
      </c>
      <c r="Z79" s="136">
        <f t="shared" si="50"/>
        <v>0</v>
      </c>
      <c r="AA79" s="136">
        <f t="shared" si="50"/>
        <v>8.3333333333333339</v>
      </c>
      <c r="AB79" s="136">
        <f t="shared" si="50"/>
        <v>6.9646017699115044</v>
      </c>
      <c r="AC79" s="276">
        <f t="shared" si="50"/>
        <v>6.1545454545454543</v>
      </c>
      <c r="AD79" s="277">
        <f t="shared" si="50"/>
        <v>4.9385964912280702</v>
      </c>
      <c r="AE79" s="136">
        <f t="shared" si="50"/>
        <v>3.7711864406779663</v>
      </c>
      <c r="AF79" s="136">
        <f t="shared" si="50"/>
        <v>2.7394957983193278</v>
      </c>
      <c r="AG79" s="7"/>
      <c r="AH79" s="7"/>
    </row>
    <row r="80" spans="1:34" ht="12.75" outlineLevel="1">
      <c r="A80" s="178"/>
      <c r="B80" s="178"/>
      <c r="C80" s="178"/>
      <c r="D80" s="178"/>
      <c r="E80" s="178"/>
      <c r="F80" s="178"/>
      <c r="G80" s="178"/>
      <c r="H80" s="178"/>
      <c r="I80" s="865"/>
      <c r="J80" s="895" t="s">
        <v>135</v>
      </c>
      <c r="K80" s="217" t="s">
        <v>136</v>
      </c>
      <c r="L80" s="136"/>
      <c r="M80" s="136"/>
      <c r="N80" s="136"/>
      <c r="O80" s="136"/>
      <c r="P80" s="136">
        <f t="shared" ref="P80:AF80" si="51">P60/P40</f>
        <v>11.490671641791044</v>
      </c>
      <c r="Q80" s="136">
        <f t="shared" si="51"/>
        <v>22.541071428571428</v>
      </c>
      <c r="R80" s="136">
        <f t="shared" si="51"/>
        <v>39.458333333333336</v>
      </c>
      <c r="S80" s="136">
        <f t="shared" si="51"/>
        <v>34.160919540229884</v>
      </c>
      <c r="T80" s="136">
        <f t="shared" si="51"/>
        <v>26.950934579439252</v>
      </c>
      <c r="U80" s="136">
        <f t="shared" si="51"/>
        <v>13.58235294117647</v>
      </c>
      <c r="V80" s="136">
        <f t="shared" si="51"/>
        <v>14.292073832790445</v>
      </c>
      <c r="W80" s="137">
        <f t="shared" si="51"/>
        <v>18.70508982035928</v>
      </c>
      <c r="X80" s="136">
        <f t="shared" si="51"/>
        <v>10.894572025052192</v>
      </c>
      <c r="Y80" s="136">
        <f t="shared" si="51"/>
        <v>4.0020682523267839</v>
      </c>
      <c r="Z80" s="136">
        <f t="shared" si="51"/>
        <v>2.9611054247697033</v>
      </c>
      <c r="AA80" s="136">
        <f t="shared" si="51"/>
        <v>-9.5238095238095233E-2</v>
      </c>
      <c r="AB80" s="136">
        <f t="shared" si="51"/>
        <v>2.3147964250248263</v>
      </c>
      <c r="AC80" s="278">
        <f t="shared" si="51"/>
        <v>1.2697176241480039</v>
      </c>
      <c r="AD80" s="279">
        <f t="shared" si="51"/>
        <v>-0.7096466093600764</v>
      </c>
      <c r="AE80" s="136">
        <f t="shared" si="51"/>
        <v>-2.6320224719101124</v>
      </c>
      <c r="AF80" s="136">
        <f t="shared" si="51"/>
        <v>-4.4963302752293579</v>
      </c>
      <c r="AG80" s="7"/>
      <c r="AH80" s="7"/>
    </row>
    <row r="81" spans="1:34" ht="12.75" outlineLevel="1">
      <c r="A81" s="178"/>
      <c r="B81" s="178"/>
      <c r="C81" s="178"/>
      <c r="D81" s="178"/>
      <c r="E81" s="178"/>
      <c r="F81" s="178"/>
      <c r="G81" s="178"/>
      <c r="H81" s="178"/>
      <c r="I81" s="865"/>
      <c r="J81" s="865"/>
      <c r="K81" s="217" t="s">
        <v>137</v>
      </c>
      <c r="L81" s="136"/>
      <c r="M81" s="136"/>
      <c r="N81" s="136"/>
      <c r="O81" s="136"/>
      <c r="P81" s="136">
        <f t="shared" ref="P81:AF81" si="52">P61/P41</f>
        <v>11.813461538461539</v>
      </c>
      <c r="Q81" s="136">
        <f t="shared" si="52"/>
        <v>27.411637931034484</v>
      </c>
      <c r="R81" s="136">
        <f t="shared" si="52"/>
        <v>47.178030303030305</v>
      </c>
      <c r="S81" s="136">
        <f t="shared" si="52"/>
        <v>33.873595505617978</v>
      </c>
      <c r="T81" s="136">
        <f t="shared" si="52"/>
        <v>25.302173913043479</v>
      </c>
      <c r="U81" s="136">
        <f t="shared" si="52"/>
        <v>13.695652173913043</v>
      </c>
      <c r="V81" s="136">
        <f t="shared" si="52"/>
        <v>12.49665071770335</v>
      </c>
      <c r="W81" s="137">
        <f t="shared" si="52"/>
        <v>17.238826815642458</v>
      </c>
      <c r="X81" s="136">
        <f t="shared" si="52"/>
        <v>9.5983754512635375</v>
      </c>
      <c r="Y81" s="136">
        <f t="shared" si="52"/>
        <v>8.4031830238726783</v>
      </c>
      <c r="Z81" s="136">
        <f t="shared" si="52"/>
        <v>3.0315236427320489</v>
      </c>
      <c r="AA81" s="136">
        <f t="shared" si="52"/>
        <v>0.26799653078924546</v>
      </c>
      <c r="AB81" s="136">
        <f t="shared" si="52"/>
        <v>2.1489898989898988</v>
      </c>
      <c r="AC81" s="136">
        <f t="shared" si="52"/>
        <v>1.1064356435643565</v>
      </c>
      <c r="AD81" s="137">
        <f t="shared" si="52"/>
        <v>4.0453074433656954E-3</v>
      </c>
      <c r="AE81" s="136">
        <f t="shared" si="52"/>
        <v>-1.0753370340999207</v>
      </c>
      <c r="AF81" s="136">
        <f t="shared" si="52"/>
        <v>-2.1321928460342146</v>
      </c>
      <c r="AG81" s="7"/>
      <c r="AH81" s="7"/>
    </row>
    <row r="82" spans="1:34" ht="12.75" outlineLevel="1">
      <c r="A82" s="178"/>
      <c r="B82" s="178"/>
      <c r="C82" s="178"/>
      <c r="D82" s="178"/>
      <c r="E82" s="178"/>
      <c r="F82" s="178"/>
      <c r="G82" s="178"/>
      <c r="H82" s="178"/>
      <c r="I82" s="865"/>
      <c r="J82" s="865"/>
      <c r="K82" s="217" t="s">
        <v>138</v>
      </c>
      <c r="L82" s="136"/>
      <c r="M82" s="136"/>
      <c r="N82" s="136"/>
      <c r="O82" s="136"/>
      <c r="P82" s="136">
        <f t="shared" ref="P82:AF82" si="53">P62/P42</f>
        <v>7.6568877551020407</v>
      </c>
      <c r="Q82" s="136">
        <f t="shared" si="53"/>
        <v>11.752118644067796</v>
      </c>
      <c r="R82" s="136">
        <f t="shared" si="53"/>
        <v>15.911585365853659</v>
      </c>
      <c r="S82" s="136">
        <f t="shared" si="53"/>
        <v>17.260563380281692</v>
      </c>
      <c r="T82" s="136">
        <f t="shared" si="53"/>
        <v>16.880434782608695</v>
      </c>
      <c r="U82" s="136">
        <f t="shared" si="53"/>
        <v>6.167272727272727</v>
      </c>
      <c r="V82" s="136">
        <f t="shared" si="53"/>
        <v>6.4223463687150835</v>
      </c>
      <c r="W82" s="137">
        <f t="shared" si="53"/>
        <v>6.6844919786096257</v>
      </c>
      <c r="X82" s="136">
        <f t="shared" si="53"/>
        <v>3.7261009667024703</v>
      </c>
      <c r="Y82" s="136">
        <f t="shared" si="53"/>
        <v>2.6515789473684213</v>
      </c>
      <c r="Z82" s="136">
        <f t="shared" si="53"/>
        <v>1.6239583333333334</v>
      </c>
      <c r="AA82" s="136">
        <f t="shared" si="53"/>
        <v>0.60887512899896801</v>
      </c>
      <c r="AB82" s="136">
        <f t="shared" si="53"/>
        <v>5.9679358717434869</v>
      </c>
      <c r="AC82" s="136">
        <f t="shared" si="53"/>
        <v>4.8506876227897839</v>
      </c>
      <c r="AD82" s="137">
        <f t="shared" si="53"/>
        <v>1.6352261790182867</v>
      </c>
      <c r="AE82" s="136">
        <f t="shared" si="53"/>
        <v>-1.4730878186968839</v>
      </c>
      <c r="AF82" s="136">
        <f t="shared" si="53"/>
        <v>-4.4782608695652177</v>
      </c>
      <c r="AG82" s="7"/>
      <c r="AH82" s="7"/>
    </row>
    <row r="83" spans="1:34" ht="12.75" outlineLevel="1">
      <c r="A83" s="178"/>
      <c r="B83" s="178"/>
      <c r="C83" s="178"/>
      <c r="D83" s="178"/>
      <c r="E83" s="178"/>
      <c r="F83" s="178"/>
      <c r="G83" s="178"/>
      <c r="H83" s="178"/>
      <c r="I83" s="866"/>
      <c r="J83" s="866"/>
      <c r="K83" s="217" t="s">
        <v>139</v>
      </c>
      <c r="L83" s="136"/>
      <c r="M83" s="136"/>
      <c r="N83" s="136"/>
      <c r="O83" s="136"/>
      <c r="P83" s="136">
        <f t="shared" ref="P83:AF83" si="54">P63/P43</f>
        <v>5.4198473282442752</v>
      </c>
      <c r="Q83" s="136">
        <f t="shared" si="54"/>
        <v>14.148936170212766</v>
      </c>
      <c r="R83" s="136">
        <f t="shared" si="54"/>
        <v>12.854166666666666</v>
      </c>
      <c r="S83" s="136">
        <f t="shared" si="54"/>
        <v>22.231132075471699</v>
      </c>
      <c r="T83" s="136">
        <f t="shared" si="54"/>
        <v>13.580246913580247</v>
      </c>
      <c r="U83" s="136">
        <f t="shared" si="54"/>
        <v>5.860215053763441</v>
      </c>
      <c r="V83" s="136">
        <f t="shared" si="54"/>
        <v>7.6273291925465836</v>
      </c>
      <c r="W83" s="137">
        <f t="shared" si="54"/>
        <v>5.2</v>
      </c>
      <c r="X83" s="136">
        <f t="shared" si="54"/>
        <v>3.5671267252195733</v>
      </c>
      <c r="Y83" s="136">
        <f t="shared" si="54"/>
        <v>2.5316770186335402</v>
      </c>
      <c r="Z83" s="136">
        <f t="shared" si="54"/>
        <v>0.2767527675276753</v>
      </c>
      <c r="AA83" s="136">
        <f t="shared" si="54"/>
        <v>-0.72594397076735684</v>
      </c>
      <c r="AB83" s="136">
        <f t="shared" si="54"/>
        <v>6.4886499402628433</v>
      </c>
      <c r="AC83" s="136">
        <f t="shared" si="54"/>
        <v>1.8466042154566744</v>
      </c>
      <c r="AD83" s="276">
        <f t="shared" si="54"/>
        <v>0.81056257175660162</v>
      </c>
      <c r="AE83" s="136">
        <f t="shared" si="54"/>
        <v>-0.20584926884139482</v>
      </c>
      <c r="AF83" s="136">
        <f t="shared" si="54"/>
        <v>-1.2019867549668874</v>
      </c>
      <c r="AG83" s="7"/>
      <c r="AH83" s="7"/>
    </row>
    <row r="84" spans="1:34" ht="12.75" outlineLevel="1">
      <c r="A84" s="178"/>
      <c r="B84" s="178"/>
      <c r="C84" s="178"/>
      <c r="D84" s="178"/>
      <c r="E84" s="178"/>
      <c r="F84" s="178"/>
      <c r="G84" s="178"/>
      <c r="H84" s="178"/>
      <c r="I84" s="268"/>
      <c r="J84" s="896" t="s">
        <v>38</v>
      </c>
      <c r="K84" s="860"/>
      <c r="L84" s="280">
        <f t="shared" ref="L84:AF84" si="55">AVERAGE(L68:L83)</f>
        <v>3.3656159303896982</v>
      </c>
      <c r="M84" s="280">
        <f t="shared" si="55"/>
        <v>3.5745843940098694</v>
      </c>
      <c r="N84" s="280">
        <f t="shared" si="55"/>
        <v>4.0583624894330361</v>
      </c>
      <c r="O84" s="280">
        <f t="shared" si="55"/>
        <v>3.8659290569695308</v>
      </c>
      <c r="P84" s="280">
        <f t="shared" si="55"/>
        <v>5.6082093537534616</v>
      </c>
      <c r="Q84" s="280">
        <f t="shared" si="55"/>
        <v>10.557810309277063</v>
      </c>
      <c r="R84" s="280">
        <f t="shared" si="55"/>
        <v>14.348813726669709</v>
      </c>
      <c r="S84" s="280">
        <f t="shared" si="55"/>
        <v>14.593434516066614</v>
      </c>
      <c r="T84" s="280">
        <f t="shared" si="55"/>
        <v>18.275811584774154</v>
      </c>
      <c r="U84" s="280">
        <f t="shared" si="55"/>
        <v>15.620208023836186</v>
      </c>
      <c r="V84" s="280">
        <f t="shared" si="55"/>
        <v>15.223253945763027</v>
      </c>
      <c r="W84" s="281">
        <f t="shared" si="55"/>
        <v>15.27887839195172</v>
      </c>
      <c r="X84" s="280">
        <f t="shared" si="55"/>
        <v>14.055279588645929</v>
      </c>
      <c r="Y84" s="280">
        <f t="shared" si="55"/>
        <v>12.896871937125196</v>
      </c>
      <c r="Z84" s="280">
        <f t="shared" si="55"/>
        <v>10.407758723850128</v>
      </c>
      <c r="AA84" s="280">
        <f t="shared" si="55"/>
        <v>9.0590291442037341</v>
      </c>
      <c r="AB84" s="280">
        <f t="shared" si="55"/>
        <v>8.710776535090389</v>
      </c>
      <c r="AC84" s="280">
        <f t="shared" si="55"/>
        <v>7.2213697202272353</v>
      </c>
      <c r="AD84" s="282">
        <f t="shared" si="55"/>
        <v>5.4670723683096476</v>
      </c>
      <c r="AE84" s="280">
        <f t="shared" si="55"/>
        <v>2.3098536450568274</v>
      </c>
      <c r="AF84" s="280">
        <f t="shared" si="55"/>
        <v>0.77971497299534798</v>
      </c>
      <c r="AG84" s="7"/>
      <c r="AH84" s="7"/>
    </row>
    <row r="85" spans="1:34" ht="12.75">
      <c r="A85" s="178"/>
      <c r="B85" s="178"/>
      <c r="C85" s="178"/>
      <c r="D85" s="178"/>
      <c r="E85" s="178"/>
      <c r="F85" s="178"/>
      <c r="G85" s="178"/>
      <c r="H85" s="178"/>
      <c r="AG85" s="7"/>
      <c r="AH85" s="7"/>
    </row>
    <row r="86" spans="1:34" ht="12.75">
      <c r="A86" s="178"/>
      <c r="B86" s="178"/>
      <c r="C86" s="178"/>
      <c r="D86" s="178"/>
      <c r="E86" s="178"/>
      <c r="F86" s="178"/>
      <c r="G86" s="178"/>
      <c r="H86" s="178"/>
      <c r="AG86" s="7"/>
      <c r="AH86" s="7"/>
    </row>
    <row r="87" spans="1:34" ht="12.75">
      <c r="A87" s="178"/>
      <c r="B87" s="178"/>
      <c r="C87" s="178"/>
      <c r="D87" s="178"/>
      <c r="E87" s="178"/>
      <c r="F87" s="178"/>
      <c r="G87" s="178"/>
      <c r="H87" s="178"/>
    </row>
    <row r="88" spans="1:34" ht="12.75">
      <c r="A88" s="178"/>
      <c r="B88" s="178"/>
      <c r="C88" s="178"/>
      <c r="D88" s="178"/>
      <c r="E88" s="178"/>
      <c r="F88" s="178"/>
      <c r="G88" s="178"/>
      <c r="H88" s="178"/>
    </row>
    <row r="89" spans="1:34" ht="12.75">
      <c r="A89" s="178"/>
      <c r="B89" s="178"/>
      <c r="C89" s="178"/>
      <c r="D89" s="178"/>
      <c r="E89" s="178"/>
      <c r="F89" s="178"/>
      <c r="G89" s="178"/>
      <c r="H89" s="178"/>
    </row>
    <row r="90" spans="1:34" ht="12.75">
      <c r="A90" s="178"/>
      <c r="B90" s="178"/>
      <c r="C90" s="178"/>
      <c r="D90" s="178"/>
      <c r="E90" s="178"/>
      <c r="F90" s="178"/>
      <c r="G90" s="178"/>
      <c r="H90" s="178"/>
    </row>
    <row r="91" spans="1:34" ht="12.75">
      <c r="A91" s="178"/>
      <c r="B91" s="178"/>
      <c r="C91" s="178"/>
      <c r="D91" s="178"/>
      <c r="E91" s="178"/>
      <c r="F91" s="178"/>
      <c r="G91" s="178"/>
      <c r="H91" s="178"/>
    </row>
    <row r="92" spans="1:34" ht="12.75">
      <c r="A92" s="178"/>
      <c r="B92" s="178"/>
      <c r="C92" s="178"/>
      <c r="D92" s="178"/>
      <c r="E92" s="178"/>
      <c r="F92" s="178"/>
      <c r="G92" s="178"/>
      <c r="H92" s="178"/>
    </row>
    <row r="93" spans="1:34" ht="12.75">
      <c r="A93" s="178"/>
      <c r="B93" s="178"/>
      <c r="C93" s="178"/>
      <c r="D93" s="178"/>
      <c r="E93" s="178"/>
      <c r="F93" s="178"/>
      <c r="G93" s="178"/>
      <c r="H93" s="178"/>
    </row>
    <row r="94" spans="1:34" ht="12.75">
      <c r="A94" s="178"/>
      <c r="B94" s="178"/>
      <c r="C94" s="178"/>
      <c r="D94" s="178"/>
      <c r="E94" s="178"/>
      <c r="F94" s="178"/>
      <c r="G94" s="178"/>
      <c r="H94" s="178"/>
    </row>
    <row r="95" spans="1:34" ht="12.75">
      <c r="A95" s="178"/>
      <c r="B95" s="178"/>
      <c r="C95" s="178"/>
      <c r="D95" s="178"/>
      <c r="E95" s="178"/>
      <c r="F95" s="178"/>
      <c r="G95" s="178"/>
      <c r="H95" s="178"/>
    </row>
    <row r="96" spans="1:34" ht="12.75">
      <c r="A96" s="178"/>
      <c r="B96" s="178"/>
      <c r="C96" s="178"/>
      <c r="D96" s="178"/>
      <c r="E96" s="178"/>
      <c r="F96" s="178"/>
      <c r="G96" s="178"/>
      <c r="H96" s="178"/>
    </row>
    <row r="97" spans="1:8" ht="12.75">
      <c r="A97" s="178"/>
      <c r="B97" s="178"/>
      <c r="C97" s="178"/>
      <c r="D97" s="178"/>
      <c r="E97" s="178"/>
      <c r="F97" s="178"/>
      <c r="G97" s="178"/>
      <c r="H97" s="178"/>
    </row>
    <row r="98" spans="1:8" ht="12.75">
      <c r="A98" s="178"/>
      <c r="B98" s="178"/>
      <c r="C98" s="178"/>
      <c r="D98" s="178"/>
      <c r="E98" s="178"/>
      <c r="F98" s="178"/>
      <c r="G98" s="178"/>
      <c r="H98" s="178"/>
    </row>
    <row r="99" spans="1:8" ht="12.75">
      <c r="A99" s="178"/>
      <c r="B99" s="178"/>
      <c r="C99" s="178"/>
      <c r="D99" s="178"/>
      <c r="E99" s="178"/>
      <c r="F99" s="178"/>
      <c r="G99" s="178"/>
      <c r="H99" s="178"/>
    </row>
    <row r="100" spans="1:8" ht="12.75">
      <c r="A100" s="178"/>
      <c r="B100" s="178"/>
      <c r="C100" s="178"/>
      <c r="D100" s="178"/>
      <c r="E100" s="178"/>
      <c r="F100" s="178"/>
      <c r="G100" s="178"/>
      <c r="H100" s="178"/>
    </row>
    <row r="101" spans="1:8" ht="12.75">
      <c r="A101" s="178"/>
      <c r="B101" s="178"/>
      <c r="C101" s="178"/>
      <c r="D101" s="178"/>
      <c r="E101" s="178"/>
      <c r="F101" s="178"/>
      <c r="G101" s="178"/>
      <c r="H101" s="178"/>
    </row>
    <row r="102" spans="1:8" ht="12.75">
      <c r="A102" s="178"/>
      <c r="B102" s="178"/>
      <c r="C102" s="178"/>
      <c r="D102" s="178"/>
      <c r="E102" s="178"/>
      <c r="F102" s="178"/>
      <c r="G102" s="178"/>
      <c r="H102" s="178"/>
    </row>
    <row r="103" spans="1:8" ht="12.75">
      <c r="A103" s="178"/>
      <c r="B103" s="178"/>
      <c r="C103" s="178"/>
      <c r="D103" s="178"/>
      <c r="E103" s="178"/>
      <c r="F103" s="178"/>
      <c r="G103" s="178"/>
      <c r="H103" s="178"/>
    </row>
    <row r="104" spans="1:8" ht="12.75">
      <c r="A104" s="178"/>
      <c r="B104" s="178"/>
      <c r="C104" s="178"/>
      <c r="D104" s="178"/>
      <c r="E104" s="178"/>
      <c r="F104" s="178"/>
      <c r="G104" s="178"/>
      <c r="H104" s="178"/>
    </row>
    <row r="105" spans="1:8" ht="12.75">
      <c r="A105" s="178"/>
      <c r="B105" s="178"/>
      <c r="C105" s="178"/>
      <c r="D105" s="178"/>
      <c r="E105" s="178"/>
      <c r="F105" s="178"/>
      <c r="G105" s="178"/>
      <c r="H105" s="178"/>
    </row>
    <row r="106" spans="1:8" ht="12.75">
      <c r="A106" s="178"/>
      <c r="B106" s="178"/>
      <c r="C106" s="178"/>
      <c r="D106" s="178"/>
      <c r="E106" s="178"/>
      <c r="F106" s="178"/>
      <c r="G106" s="178"/>
      <c r="H106" s="178"/>
    </row>
    <row r="107" spans="1:8" ht="12.75">
      <c r="A107" s="178"/>
      <c r="B107" s="178"/>
      <c r="C107" s="178"/>
      <c r="D107" s="178"/>
      <c r="E107" s="178"/>
      <c r="F107" s="178"/>
      <c r="G107" s="178"/>
      <c r="H107" s="178"/>
    </row>
    <row r="108" spans="1:8" ht="12.75">
      <c r="A108" s="178"/>
      <c r="B108" s="178"/>
      <c r="C108" s="178"/>
      <c r="D108" s="178"/>
      <c r="E108" s="178"/>
      <c r="F108" s="178"/>
      <c r="G108" s="178"/>
      <c r="H108" s="178"/>
    </row>
    <row r="109" spans="1:8" ht="12.75">
      <c r="A109" s="178"/>
      <c r="B109" s="178"/>
      <c r="C109" s="178"/>
      <c r="D109" s="178"/>
      <c r="E109" s="178"/>
      <c r="F109" s="178"/>
      <c r="G109" s="178"/>
      <c r="H109" s="178"/>
    </row>
    <row r="110" spans="1:8" ht="12.75">
      <c r="A110" s="178"/>
      <c r="B110" s="178"/>
      <c r="C110" s="178"/>
      <c r="D110" s="178"/>
      <c r="E110" s="178"/>
      <c r="F110" s="178"/>
      <c r="G110" s="178"/>
      <c r="H110" s="178"/>
    </row>
    <row r="111" spans="1:8" ht="12.75">
      <c r="A111" s="178"/>
      <c r="B111" s="178"/>
      <c r="C111" s="178"/>
      <c r="D111" s="178"/>
      <c r="E111" s="178"/>
      <c r="F111" s="178"/>
      <c r="G111" s="178"/>
      <c r="H111" s="178"/>
    </row>
    <row r="112" spans="1:8" ht="12.75">
      <c r="A112" s="178"/>
      <c r="B112" s="178"/>
      <c r="C112" s="178"/>
      <c r="D112" s="178"/>
      <c r="E112" s="178"/>
      <c r="F112" s="178"/>
      <c r="G112" s="178"/>
      <c r="H112" s="178"/>
    </row>
    <row r="113" spans="1:8" ht="12.75">
      <c r="A113" s="178"/>
      <c r="B113" s="178"/>
      <c r="C113" s="178"/>
      <c r="D113" s="178"/>
      <c r="E113" s="178"/>
      <c r="F113" s="178"/>
      <c r="G113" s="178"/>
      <c r="H113" s="178"/>
    </row>
    <row r="114" spans="1:8" ht="12.75">
      <c r="A114" s="178"/>
      <c r="B114" s="178"/>
      <c r="C114" s="178"/>
      <c r="D114" s="178"/>
      <c r="E114" s="178"/>
      <c r="F114" s="178"/>
      <c r="G114" s="178"/>
      <c r="H114" s="178"/>
    </row>
    <row r="115" spans="1:8" ht="12.75">
      <c r="A115" s="178"/>
      <c r="B115" s="178"/>
      <c r="C115" s="178"/>
      <c r="D115" s="178"/>
      <c r="E115" s="178"/>
      <c r="F115" s="178"/>
      <c r="G115" s="178"/>
      <c r="H115" s="178"/>
    </row>
    <row r="116" spans="1:8" ht="12.75">
      <c r="A116" s="178"/>
      <c r="B116" s="178"/>
      <c r="C116" s="178"/>
      <c r="D116" s="178"/>
      <c r="E116" s="178"/>
      <c r="F116" s="178"/>
      <c r="G116" s="178"/>
      <c r="H116" s="178"/>
    </row>
    <row r="117" spans="1:8" ht="12.75">
      <c r="A117" s="178"/>
      <c r="B117" s="178"/>
      <c r="C117" s="178"/>
      <c r="D117" s="178"/>
      <c r="E117" s="178"/>
      <c r="F117" s="178"/>
      <c r="G117" s="178"/>
      <c r="H117" s="178"/>
    </row>
    <row r="118" spans="1:8" ht="12.75">
      <c r="A118" s="178"/>
      <c r="B118" s="178"/>
      <c r="C118" s="178"/>
      <c r="D118" s="178"/>
      <c r="E118" s="178"/>
      <c r="F118" s="178"/>
      <c r="G118" s="178"/>
      <c r="H118" s="178"/>
    </row>
    <row r="119" spans="1:8" ht="12.75">
      <c r="A119" s="178"/>
      <c r="B119" s="178"/>
      <c r="C119" s="178"/>
      <c r="D119" s="178"/>
      <c r="E119" s="178"/>
      <c r="F119" s="178"/>
      <c r="G119" s="178"/>
      <c r="H119" s="178"/>
    </row>
    <row r="120" spans="1:8" ht="12.75">
      <c r="A120" s="178"/>
      <c r="B120" s="178"/>
      <c r="C120" s="178"/>
      <c r="D120" s="178"/>
      <c r="E120" s="178"/>
      <c r="F120" s="178"/>
      <c r="G120" s="178"/>
      <c r="H120" s="178"/>
    </row>
    <row r="121" spans="1:8" ht="12.75">
      <c r="A121" s="178"/>
      <c r="B121" s="178"/>
      <c r="C121" s="178"/>
      <c r="D121" s="178"/>
      <c r="E121" s="178"/>
      <c r="F121" s="178"/>
      <c r="G121" s="178"/>
      <c r="H121" s="178"/>
    </row>
    <row r="122" spans="1:8" ht="12.75">
      <c r="A122" s="178"/>
      <c r="B122" s="178"/>
      <c r="C122" s="178"/>
      <c r="D122" s="178"/>
      <c r="E122" s="178"/>
      <c r="F122" s="178"/>
      <c r="G122" s="178"/>
      <c r="H122" s="178"/>
    </row>
    <row r="123" spans="1:8" ht="12.75">
      <c r="A123" s="178"/>
      <c r="B123" s="178"/>
      <c r="C123" s="178"/>
      <c r="D123" s="178"/>
      <c r="E123" s="178"/>
      <c r="F123" s="178"/>
      <c r="G123" s="178"/>
      <c r="H123" s="178"/>
    </row>
    <row r="124" spans="1:8" ht="12.75">
      <c r="A124" s="178"/>
      <c r="B124" s="178"/>
      <c r="C124" s="178"/>
      <c r="D124" s="178"/>
      <c r="E124" s="178"/>
      <c r="F124" s="178"/>
      <c r="G124" s="178"/>
      <c r="H124" s="178"/>
    </row>
    <row r="125" spans="1:8" ht="12.75">
      <c r="A125" s="178"/>
      <c r="B125" s="178"/>
      <c r="C125" s="178"/>
      <c r="D125" s="178"/>
      <c r="E125" s="178"/>
      <c r="F125" s="178"/>
      <c r="G125" s="178"/>
      <c r="H125" s="178"/>
    </row>
    <row r="126" spans="1:8" ht="12.75">
      <c r="A126" s="178"/>
      <c r="B126" s="178"/>
      <c r="C126" s="178"/>
      <c r="D126" s="178"/>
      <c r="E126" s="178"/>
      <c r="F126" s="178"/>
      <c r="G126" s="178"/>
      <c r="H126" s="178"/>
    </row>
    <row r="127" spans="1:8" ht="12.75">
      <c r="A127" s="178"/>
      <c r="B127" s="178"/>
      <c r="C127" s="178"/>
      <c r="D127" s="178"/>
      <c r="E127" s="178"/>
      <c r="F127" s="178"/>
      <c r="G127" s="178"/>
      <c r="H127" s="178"/>
    </row>
    <row r="128" spans="1:8" ht="12.75">
      <c r="A128" s="178"/>
      <c r="B128" s="178"/>
      <c r="C128" s="178"/>
      <c r="D128" s="178"/>
      <c r="E128" s="178"/>
      <c r="F128" s="178"/>
      <c r="G128" s="178"/>
      <c r="H128" s="178"/>
    </row>
    <row r="129" spans="1:8" ht="12.75">
      <c r="A129" s="178"/>
      <c r="B129" s="178"/>
      <c r="C129" s="178"/>
      <c r="D129" s="178"/>
      <c r="E129" s="178"/>
      <c r="F129" s="178"/>
      <c r="G129" s="178"/>
      <c r="H129" s="178"/>
    </row>
    <row r="130" spans="1:8" ht="12.75">
      <c r="A130" s="178"/>
      <c r="B130" s="178"/>
      <c r="C130" s="178"/>
      <c r="D130" s="178"/>
      <c r="E130" s="178"/>
      <c r="F130" s="178"/>
      <c r="G130" s="178"/>
      <c r="H130" s="178"/>
    </row>
    <row r="131" spans="1:8" ht="12.75">
      <c r="A131" s="178"/>
      <c r="B131" s="178"/>
      <c r="C131" s="178"/>
      <c r="D131" s="178"/>
      <c r="E131" s="178"/>
      <c r="F131" s="178"/>
      <c r="G131" s="178"/>
      <c r="H131" s="178"/>
    </row>
    <row r="132" spans="1:8" ht="12.75">
      <c r="A132" s="178"/>
      <c r="B132" s="178"/>
      <c r="C132" s="178"/>
      <c r="D132" s="178"/>
      <c r="E132" s="178"/>
      <c r="F132" s="178"/>
      <c r="G132" s="178"/>
      <c r="H132" s="178"/>
    </row>
    <row r="133" spans="1:8" ht="12.75">
      <c r="A133" s="178"/>
      <c r="B133" s="178"/>
      <c r="C133" s="178"/>
      <c r="D133" s="178"/>
      <c r="E133" s="178"/>
      <c r="F133" s="178"/>
      <c r="G133" s="178"/>
      <c r="H133" s="178"/>
    </row>
    <row r="134" spans="1:8" ht="12.75">
      <c r="A134" s="178"/>
      <c r="B134" s="178"/>
      <c r="C134" s="178"/>
      <c r="D134" s="178"/>
      <c r="E134" s="178"/>
      <c r="F134" s="178"/>
      <c r="G134" s="178"/>
      <c r="H134" s="178"/>
    </row>
    <row r="135" spans="1:8" ht="12.75">
      <c r="A135" s="178"/>
      <c r="B135" s="178"/>
      <c r="C135" s="178"/>
      <c r="D135" s="178"/>
      <c r="E135" s="178"/>
      <c r="F135" s="178"/>
      <c r="G135" s="178"/>
      <c r="H135" s="178"/>
    </row>
    <row r="136" spans="1:8" ht="12.75">
      <c r="A136" s="178"/>
      <c r="B136" s="178"/>
      <c r="C136" s="178"/>
      <c r="D136" s="178"/>
      <c r="E136" s="178"/>
      <c r="F136" s="178"/>
      <c r="G136" s="178"/>
      <c r="H136" s="178"/>
    </row>
    <row r="137" spans="1:8" ht="12.75">
      <c r="A137" s="178"/>
      <c r="B137" s="178"/>
      <c r="C137" s="178"/>
      <c r="D137" s="178"/>
      <c r="E137" s="178"/>
      <c r="F137" s="178"/>
      <c r="G137" s="178"/>
      <c r="H137" s="178"/>
    </row>
    <row r="138" spans="1:8" ht="12.75">
      <c r="A138" s="178"/>
      <c r="B138" s="178"/>
      <c r="C138" s="178"/>
      <c r="D138" s="178"/>
      <c r="E138" s="178"/>
      <c r="F138" s="178"/>
      <c r="G138" s="178"/>
      <c r="H138" s="178"/>
    </row>
    <row r="139" spans="1:8" ht="12.75">
      <c r="A139" s="178"/>
      <c r="B139" s="178"/>
      <c r="C139" s="178"/>
      <c r="D139" s="178"/>
      <c r="E139" s="178"/>
      <c r="F139" s="178"/>
      <c r="G139" s="178"/>
      <c r="H139" s="178"/>
    </row>
    <row r="140" spans="1:8" ht="12.75">
      <c r="A140" s="178"/>
      <c r="B140" s="178"/>
      <c r="C140" s="178"/>
      <c r="D140" s="178"/>
      <c r="E140" s="178"/>
      <c r="F140" s="178"/>
      <c r="G140" s="178"/>
      <c r="H140" s="178"/>
    </row>
    <row r="141" spans="1:8" ht="12.75">
      <c r="A141" s="178"/>
      <c r="B141" s="178"/>
      <c r="C141" s="178"/>
      <c r="D141" s="178"/>
      <c r="E141" s="178"/>
      <c r="F141" s="178"/>
      <c r="G141" s="178"/>
      <c r="H141" s="178"/>
    </row>
    <row r="142" spans="1:8" ht="12.75">
      <c r="A142" s="178"/>
      <c r="B142" s="178"/>
      <c r="C142" s="178"/>
      <c r="D142" s="178"/>
      <c r="E142" s="178"/>
      <c r="F142" s="178"/>
      <c r="G142" s="178"/>
      <c r="H142" s="178"/>
    </row>
    <row r="143" spans="1:8" ht="12.75">
      <c r="A143" s="178"/>
      <c r="B143" s="178"/>
      <c r="C143" s="178"/>
      <c r="D143" s="178"/>
      <c r="E143" s="178"/>
      <c r="F143" s="178"/>
      <c r="G143" s="178"/>
      <c r="H143" s="178"/>
    </row>
    <row r="144" spans="1:8" ht="12.75">
      <c r="A144" s="178"/>
      <c r="B144" s="178"/>
      <c r="C144" s="178"/>
      <c r="D144" s="178"/>
      <c r="E144" s="178"/>
      <c r="F144" s="178"/>
      <c r="G144" s="178"/>
      <c r="H144" s="178"/>
    </row>
    <row r="145" spans="1:8" ht="12.75">
      <c r="A145" s="178"/>
      <c r="B145" s="178"/>
      <c r="C145" s="178"/>
      <c r="D145" s="178"/>
      <c r="E145" s="178"/>
      <c r="F145" s="178"/>
      <c r="G145" s="178"/>
      <c r="H145" s="178"/>
    </row>
    <row r="146" spans="1:8" ht="12.75">
      <c r="A146" s="178"/>
      <c r="B146" s="178"/>
      <c r="C146" s="178"/>
      <c r="D146" s="178"/>
      <c r="E146" s="178"/>
      <c r="F146" s="178"/>
      <c r="G146" s="178"/>
      <c r="H146" s="178"/>
    </row>
    <row r="147" spans="1:8" ht="12.75">
      <c r="A147" s="178"/>
      <c r="B147" s="178"/>
      <c r="C147" s="178"/>
      <c r="D147" s="178"/>
      <c r="E147" s="178"/>
      <c r="F147" s="178"/>
      <c r="G147" s="178"/>
      <c r="H147" s="178"/>
    </row>
    <row r="148" spans="1:8" ht="12.75">
      <c r="A148" s="178"/>
      <c r="B148" s="178"/>
      <c r="C148" s="178"/>
      <c r="D148" s="178"/>
      <c r="E148" s="178"/>
      <c r="F148" s="178"/>
      <c r="G148" s="178"/>
      <c r="H148" s="178"/>
    </row>
    <row r="149" spans="1:8" ht="12.75">
      <c r="A149" s="178"/>
      <c r="B149" s="178"/>
      <c r="C149" s="178"/>
      <c r="D149" s="178"/>
      <c r="E149" s="178"/>
      <c r="F149" s="178"/>
      <c r="G149" s="178"/>
      <c r="H149" s="178"/>
    </row>
    <row r="150" spans="1:8" ht="12.75">
      <c r="A150" s="178"/>
      <c r="B150" s="178"/>
      <c r="C150" s="178"/>
      <c r="D150" s="178"/>
      <c r="E150" s="178"/>
      <c r="F150" s="178"/>
      <c r="G150" s="178"/>
      <c r="H150" s="178"/>
    </row>
    <row r="151" spans="1:8" ht="12.75">
      <c r="A151" s="178"/>
      <c r="B151" s="178"/>
      <c r="C151" s="178"/>
      <c r="D151" s="178"/>
      <c r="E151" s="178"/>
      <c r="F151" s="178"/>
      <c r="G151" s="178"/>
      <c r="H151" s="178"/>
    </row>
    <row r="152" spans="1:8" ht="12.75">
      <c r="A152" s="178"/>
      <c r="B152" s="178"/>
      <c r="C152" s="178"/>
      <c r="D152" s="178"/>
      <c r="E152" s="178"/>
      <c r="F152" s="178"/>
      <c r="G152" s="178"/>
      <c r="H152" s="178"/>
    </row>
    <row r="153" spans="1:8" ht="12.75">
      <c r="A153" s="178"/>
      <c r="B153" s="178"/>
      <c r="C153" s="178"/>
      <c r="D153" s="178"/>
      <c r="E153" s="178"/>
      <c r="F153" s="178"/>
      <c r="G153" s="178"/>
      <c r="H153" s="178"/>
    </row>
    <row r="154" spans="1:8" ht="12.75">
      <c r="A154" s="178"/>
      <c r="B154" s="178"/>
      <c r="C154" s="178"/>
      <c r="D154" s="178"/>
      <c r="E154" s="178"/>
      <c r="F154" s="178"/>
      <c r="G154" s="178"/>
      <c r="H154" s="178"/>
    </row>
    <row r="155" spans="1:8" ht="12.75">
      <c r="A155" s="178"/>
      <c r="B155" s="178"/>
      <c r="C155" s="178"/>
      <c r="D155" s="178"/>
      <c r="E155" s="178"/>
      <c r="F155" s="178"/>
      <c r="G155" s="178"/>
      <c r="H155" s="178"/>
    </row>
    <row r="156" spans="1:8" ht="12.75">
      <c r="A156" s="178"/>
      <c r="B156" s="178"/>
      <c r="C156" s="178"/>
      <c r="D156" s="178"/>
      <c r="E156" s="178"/>
      <c r="F156" s="178"/>
      <c r="G156" s="178"/>
      <c r="H156" s="178"/>
    </row>
    <row r="157" spans="1:8" ht="12.75">
      <c r="A157" s="178"/>
      <c r="B157" s="178"/>
      <c r="C157" s="178"/>
      <c r="D157" s="178"/>
      <c r="E157" s="178"/>
      <c r="F157" s="178"/>
      <c r="G157" s="178"/>
      <c r="H157" s="178"/>
    </row>
    <row r="158" spans="1:8" ht="12.75">
      <c r="A158" s="178"/>
      <c r="B158" s="178"/>
      <c r="C158" s="178"/>
      <c r="D158" s="178"/>
      <c r="E158" s="178"/>
      <c r="F158" s="178"/>
      <c r="G158" s="178"/>
      <c r="H158" s="178"/>
    </row>
    <row r="159" spans="1:8" ht="12.75">
      <c r="A159" s="178"/>
      <c r="B159" s="178"/>
      <c r="C159" s="178"/>
      <c r="D159" s="178"/>
      <c r="E159" s="178"/>
      <c r="F159" s="178"/>
      <c r="G159" s="178"/>
      <c r="H159" s="178"/>
    </row>
    <row r="160" spans="1:8" ht="12.75">
      <c r="A160" s="178"/>
      <c r="B160" s="178"/>
      <c r="C160" s="178"/>
      <c r="D160" s="178"/>
      <c r="E160" s="178"/>
      <c r="F160" s="178"/>
      <c r="G160" s="178"/>
      <c r="H160" s="178"/>
    </row>
    <row r="161" spans="1:8" ht="12.75">
      <c r="A161" s="178"/>
      <c r="B161" s="178"/>
      <c r="C161" s="178"/>
      <c r="D161" s="178"/>
      <c r="E161" s="178"/>
      <c r="F161" s="178"/>
      <c r="G161" s="178"/>
      <c r="H161" s="178"/>
    </row>
    <row r="162" spans="1:8" ht="12.75">
      <c r="A162" s="178"/>
      <c r="B162" s="178"/>
      <c r="C162" s="178"/>
      <c r="D162" s="178"/>
      <c r="E162" s="178"/>
      <c r="F162" s="178"/>
      <c r="G162" s="178"/>
      <c r="H162" s="178"/>
    </row>
    <row r="163" spans="1:8" ht="12.75">
      <c r="A163" s="178"/>
      <c r="B163" s="178"/>
      <c r="C163" s="178"/>
      <c r="D163" s="178"/>
      <c r="E163" s="178"/>
      <c r="F163" s="178"/>
      <c r="G163" s="178"/>
      <c r="H163" s="178"/>
    </row>
    <row r="164" spans="1:8" ht="12.75">
      <c r="A164" s="178"/>
      <c r="B164" s="178"/>
      <c r="C164" s="178"/>
      <c r="D164" s="178"/>
      <c r="E164" s="178"/>
      <c r="F164" s="178"/>
      <c r="G164" s="178"/>
      <c r="H164" s="178"/>
    </row>
    <row r="165" spans="1:8" ht="12.75">
      <c r="A165" s="178"/>
      <c r="B165" s="178"/>
      <c r="C165" s="178"/>
      <c r="D165" s="178"/>
      <c r="E165" s="178"/>
      <c r="F165" s="178"/>
      <c r="G165" s="178"/>
      <c r="H165" s="178"/>
    </row>
    <row r="166" spans="1:8" ht="12.75">
      <c r="A166" s="178"/>
      <c r="B166" s="178"/>
      <c r="C166" s="178"/>
      <c r="D166" s="178"/>
      <c r="E166" s="178"/>
      <c r="F166" s="178"/>
      <c r="G166" s="178"/>
      <c r="H166" s="178"/>
    </row>
    <row r="167" spans="1:8" ht="12.75">
      <c r="A167" s="178"/>
      <c r="B167" s="178"/>
      <c r="C167" s="178"/>
      <c r="D167" s="178"/>
      <c r="E167" s="178"/>
      <c r="F167" s="178"/>
      <c r="G167" s="178"/>
      <c r="H167" s="178"/>
    </row>
    <row r="168" spans="1:8" ht="12.75">
      <c r="A168" s="178"/>
      <c r="B168" s="178"/>
      <c r="C168" s="178"/>
      <c r="D168" s="178"/>
      <c r="E168" s="178"/>
      <c r="F168" s="178"/>
      <c r="G168" s="178"/>
      <c r="H168" s="178"/>
    </row>
    <row r="169" spans="1:8" ht="12.75">
      <c r="A169" s="178"/>
      <c r="B169" s="178"/>
      <c r="C169" s="178"/>
      <c r="D169" s="178"/>
      <c r="E169" s="178"/>
      <c r="F169" s="178"/>
      <c r="G169" s="178"/>
      <c r="H169" s="178"/>
    </row>
    <row r="170" spans="1:8" ht="12.75">
      <c r="A170" s="178"/>
      <c r="B170" s="178"/>
      <c r="C170" s="178"/>
      <c r="D170" s="178"/>
      <c r="E170" s="178"/>
      <c r="F170" s="178"/>
      <c r="G170" s="178"/>
      <c r="H170" s="178"/>
    </row>
    <row r="171" spans="1:8" ht="12.75">
      <c r="A171" s="178"/>
      <c r="B171" s="178"/>
      <c r="C171" s="178"/>
      <c r="D171" s="178"/>
      <c r="E171" s="178"/>
      <c r="F171" s="178"/>
      <c r="G171" s="178"/>
      <c r="H171" s="178"/>
    </row>
    <row r="172" spans="1:8" ht="12.75">
      <c r="A172" s="178"/>
      <c r="B172" s="178"/>
      <c r="C172" s="178"/>
      <c r="D172" s="178"/>
      <c r="E172" s="178"/>
      <c r="F172" s="178"/>
      <c r="G172" s="178"/>
      <c r="H172" s="178"/>
    </row>
    <row r="173" spans="1:8" ht="12.75">
      <c r="A173" s="178"/>
      <c r="B173" s="178"/>
      <c r="C173" s="178"/>
      <c r="D173" s="178"/>
      <c r="E173" s="178"/>
      <c r="F173" s="178"/>
      <c r="G173" s="178"/>
      <c r="H173" s="178"/>
    </row>
    <row r="174" spans="1:8" ht="12.75">
      <c r="A174" s="178"/>
      <c r="B174" s="178"/>
      <c r="C174" s="178"/>
      <c r="D174" s="178"/>
      <c r="E174" s="178"/>
      <c r="F174" s="178"/>
      <c r="G174" s="178"/>
      <c r="H174" s="178"/>
    </row>
    <row r="175" spans="1:8" ht="12.75">
      <c r="A175" s="178"/>
      <c r="B175" s="178"/>
      <c r="C175" s="178"/>
      <c r="D175" s="178"/>
      <c r="E175" s="178"/>
      <c r="F175" s="178"/>
      <c r="G175" s="178"/>
      <c r="H175" s="178"/>
    </row>
    <row r="176" spans="1:8" ht="12.75">
      <c r="A176" s="178"/>
      <c r="B176" s="178"/>
      <c r="C176" s="178"/>
      <c r="D176" s="178"/>
      <c r="E176" s="178"/>
      <c r="F176" s="178"/>
      <c r="G176" s="178"/>
      <c r="H176" s="178"/>
    </row>
    <row r="177" spans="1:8" ht="12.75">
      <c r="A177" s="178"/>
      <c r="B177" s="178"/>
      <c r="C177" s="178"/>
      <c r="D177" s="178"/>
      <c r="E177" s="178"/>
      <c r="F177" s="178"/>
      <c r="G177" s="178"/>
      <c r="H177" s="178"/>
    </row>
    <row r="178" spans="1:8" ht="12.75">
      <c r="A178" s="178"/>
      <c r="B178" s="178"/>
      <c r="C178" s="178"/>
      <c r="D178" s="178"/>
      <c r="E178" s="178"/>
      <c r="F178" s="178"/>
      <c r="G178" s="178"/>
      <c r="H178" s="178"/>
    </row>
    <row r="179" spans="1:8" ht="12.75">
      <c r="A179" s="178"/>
      <c r="B179" s="178"/>
      <c r="C179" s="178"/>
      <c r="D179" s="178"/>
      <c r="E179" s="178"/>
      <c r="F179" s="178"/>
      <c r="G179" s="178"/>
      <c r="H179" s="178"/>
    </row>
    <row r="180" spans="1:8" ht="12.75">
      <c r="A180" s="178"/>
      <c r="B180" s="178"/>
      <c r="C180" s="178"/>
      <c r="D180" s="178"/>
      <c r="E180" s="178"/>
      <c r="F180" s="178"/>
      <c r="G180" s="178"/>
      <c r="H180" s="178"/>
    </row>
    <row r="181" spans="1:8" ht="12.75">
      <c r="A181" s="178"/>
      <c r="B181" s="178"/>
      <c r="C181" s="178"/>
      <c r="D181" s="178"/>
      <c r="E181" s="178"/>
      <c r="F181" s="178"/>
      <c r="G181" s="178"/>
      <c r="H181" s="178"/>
    </row>
    <row r="182" spans="1:8" ht="12.75">
      <c r="A182" s="178"/>
      <c r="B182" s="178"/>
      <c r="C182" s="178"/>
      <c r="D182" s="178"/>
      <c r="E182" s="178"/>
      <c r="F182" s="178"/>
      <c r="G182" s="178"/>
      <c r="H182" s="178"/>
    </row>
    <row r="183" spans="1:8" ht="12.75">
      <c r="A183" s="178"/>
      <c r="B183" s="178"/>
      <c r="C183" s="178"/>
      <c r="D183" s="178"/>
      <c r="E183" s="178"/>
      <c r="F183" s="178"/>
      <c r="G183" s="178"/>
      <c r="H183" s="178"/>
    </row>
    <row r="184" spans="1:8" ht="12.75">
      <c r="A184" s="178"/>
      <c r="B184" s="178"/>
      <c r="C184" s="178"/>
      <c r="D184" s="178"/>
      <c r="E184" s="178"/>
      <c r="F184" s="178"/>
      <c r="G184" s="178"/>
      <c r="H184" s="178"/>
    </row>
    <row r="185" spans="1:8" ht="12.75">
      <c r="A185" s="178"/>
      <c r="B185" s="178"/>
      <c r="C185" s="178"/>
      <c r="D185" s="178"/>
      <c r="E185" s="178"/>
      <c r="F185" s="178"/>
      <c r="G185" s="178"/>
      <c r="H185" s="178"/>
    </row>
    <row r="186" spans="1:8" ht="12.75">
      <c r="A186" s="178"/>
      <c r="B186" s="178"/>
      <c r="C186" s="178"/>
      <c r="D186" s="178"/>
      <c r="E186" s="178"/>
      <c r="F186" s="178"/>
      <c r="G186" s="178"/>
      <c r="H186" s="178"/>
    </row>
    <row r="187" spans="1:8" ht="12.75">
      <c r="A187" s="178"/>
      <c r="B187" s="178"/>
      <c r="C187" s="178"/>
      <c r="D187" s="178"/>
      <c r="E187" s="178"/>
      <c r="F187" s="178"/>
      <c r="G187" s="178"/>
      <c r="H187" s="178"/>
    </row>
    <row r="188" spans="1:8" ht="12.75">
      <c r="A188" s="178"/>
      <c r="B188" s="178"/>
      <c r="C188" s="178"/>
      <c r="D188" s="178"/>
      <c r="E188" s="178"/>
      <c r="F188" s="178"/>
      <c r="G188" s="178"/>
      <c r="H188" s="178"/>
    </row>
    <row r="189" spans="1:8" ht="12.75">
      <c r="A189" s="178"/>
      <c r="B189" s="178"/>
      <c r="C189" s="178"/>
      <c r="D189" s="178"/>
      <c r="E189" s="178"/>
      <c r="F189" s="178"/>
      <c r="G189" s="178"/>
      <c r="H189" s="178"/>
    </row>
    <row r="190" spans="1:8" ht="12.75">
      <c r="A190" s="178"/>
      <c r="B190" s="178"/>
      <c r="C190" s="178"/>
      <c r="D190" s="178"/>
      <c r="E190" s="178"/>
      <c r="F190" s="178"/>
      <c r="G190" s="178"/>
      <c r="H190" s="178"/>
    </row>
    <row r="191" spans="1:8" ht="12.75">
      <c r="A191" s="178"/>
      <c r="B191" s="178"/>
      <c r="C191" s="178"/>
      <c r="D191" s="178"/>
      <c r="E191" s="178"/>
      <c r="F191" s="178"/>
      <c r="G191" s="178"/>
      <c r="H191" s="178"/>
    </row>
    <row r="192" spans="1:8" ht="12.75">
      <c r="A192" s="178"/>
      <c r="B192" s="178"/>
      <c r="C192" s="178"/>
      <c r="D192" s="178"/>
      <c r="E192" s="178"/>
      <c r="F192" s="178"/>
      <c r="G192" s="178"/>
      <c r="H192" s="178"/>
    </row>
    <row r="193" spans="1:8" ht="12.75">
      <c r="A193" s="178"/>
      <c r="B193" s="178"/>
      <c r="C193" s="178"/>
      <c r="D193" s="178"/>
      <c r="E193" s="178"/>
      <c r="F193" s="178"/>
      <c r="G193" s="178"/>
      <c r="H193" s="178"/>
    </row>
    <row r="194" spans="1:8" ht="12.75">
      <c r="A194" s="178"/>
      <c r="B194" s="178"/>
      <c r="C194" s="178"/>
      <c r="D194" s="178"/>
      <c r="E194" s="178"/>
      <c r="F194" s="178"/>
      <c r="G194" s="178"/>
      <c r="H194" s="178"/>
    </row>
    <row r="195" spans="1:8" ht="12.75">
      <c r="A195" s="178"/>
      <c r="B195" s="178"/>
      <c r="C195" s="178"/>
      <c r="D195" s="178"/>
      <c r="E195" s="178"/>
      <c r="F195" s="178"/>
      <c r="G195" s="178"/>
      <c r="H195" s="178"/>
    </row>
    <row r="196" spans="1:8" ht="12.75">
      <c r="A196" s="178"/>
      <c r="B196" s="178"/>
      <c r="C196" s="178"/>
      <c r="D196" s="178"/>
      <c r="E196" s="178"/>
      <c r="F196" s="178"/>
      <c r="G196" s="178"/>
      <c r="H196" s="178"/>
    </row>
    <row r="197" spans="1:8" ht="12.75">
      <c r="A197" s="178"/>
      <c r="B197" s="178"/>
      <c r="C197" s="178"/>
      <c r="D197" s="178"/>
      <c r="E197" s="178"/>
      <c r="F197" s="178"/>
      <c r="G197" s="178"/>
      <c r="H197" s="178"/>
    </row>
    <row r="198" spans="1:8" ht="12.75">
      <c r="A198" s="178"/>
      <c r="B198" s="178"/>
      <c r="C198" s="178"/>
      <c r="D198" s="178"/>
      <c r="E198" s="178"/>
      <c r="F198" s="178"/>
      <c r="G198" s="178"/>
      <c r="H198" s="178"/>
    </row>
    <row r="199" spans="1:8" ht="12.75">
      <c r="A199" s="178"/>
      <c r="B199" s="178"/>
      <c r="C199" s="178"/>
      <c r="D199" s="178"/>
      <c r="E199" s="178"/>
      <c r="F199" s="178"/>
      <c r="G199" s="178"/>
      <c r="H199" s="178"/>
    </row>
    <row r="200" spans="1:8" ht="12.75">
      <c r="A200" s="178"/>
      <c r="B200" s="178"/>
      <c r="C200" s="178"/>
      <c r="D200" s="178"/>
      <c r="E200" s="178"/>
      <c r="F200" s="178"/>
      <c r="G200" s="178"/>
      <c r="H200" s="178"/>
    </row>
    <row r="201" spans="1:8" ht="12.75">
      <c r="A201" s="178"/>
      <c r="B201" s="178"/>
      <c r="C201" s="178"/>
      <c r="D201" s="178"/>
      <c r="E201" s="178"/>
      <c r="F201" s="178"/>
      <c r="G201" s="178"/>
      <c r="H201" s="178"/>
    </row>
    <row r="202" spans="1:8" ht="12.75">
      <c r="A202" s="178"/>
      <c r="B202" s="178"/>
      <c r="C202" s="178"/>
      <c r="D202" s="178"/>
      <c r="E202" s="178"/>
      <c r="F202" s="178"/>
      <c r="G202" s="178"/>
      <c r="H202" s="178"/>
    </row>
    <row r="203" spans="1:8" ht="12.75">
      <c r="A203" s="178"/>
      <c r="B203" s="178"/>
      <c r="C203" s="178"/>
      <c r="D203" s="178"/>
      <c r="E203" s="178"/>
      <c r="F203" s="178"/>
      <c r="G203" s="178"/>
      <c r="H203" s="178"/>
    </row>
    <row r="204" spans="1:8" ht="12.75">
      <c r="A204" s="178"/>
      <c r="B204" s="178"/>
      <c r="C204" s="178"/>
      <c r="D204" s="178"/>
      <c r="E204" s="178"/>
      <c r="F204" s="178"/>
      <c r="G204" s="178"/>
      <c r="H204" s="178"/>
    </row>
    <row r="205" spans="1:8" ht="12.75">
      <c r="A205" s="178"/>
      <c r="B205" s="178"/>
      <c r="C205" s="178"/>
      <c r="D205" s="178"/>
      <c r="E205" s="178"/>
      <c r="F205" s="178"/>
      <c r="G205" s="178"/>
      <c r="H205" s="178"/>
    </row>
    <row r="206" spans="1:8" ht="12.75">
      <c r="A206" s="178"/>
      <c r="B206" s="178"/>
      <c r="C206" s="178"/>
      <c r="D206" s="178"/>
      <c r="E206" s="178"/>
      <c r="F206" s="178"/>
      <c r="G206" s="178"/>
      <c r="H206" s="178"/>
    </row>
    <row r="207" spans="1:8" ht="12.75">
      <c r="A207" s="178"/>
      <c r="B207" s="178"/>
      <c r="C207" s="178"/>
      <c r="D207" s="178"/>
      <c r="E207" s="178"/>
      <c r="F207" s="178"/>
      <c r="G207" s="178"/>
      <c r="H207" s="178"/>
    </row>
    <row r="208" spans="1:8" ht="12.75">
      <c r="A208" s="178"/>
      <c r="B208" s="178"/>
      <c r="C208" s="178"/>
      <c r="D208" s="178"/>
      <c r="E208" s="178"/>
      <c r="F208" s="178"/>
      <c r="G208" s="178"/>
      <c r="H208" s="178"/>
    </row>
    <row r="209" spans="1:8" ht="12.75">
      <c r="A209" s="178"/>
      <c r="B209" s="178"/>
      <c r="C209" s="178"/>
      <c r="D209" s="178"/>
      <c r="E209" s="178"/>
      <c r="F209" s="178"/>
      <c r="G209" s="178"/>
      <c r="H209" s="178"/>
    </row>
    <row r="210" spans="1:8" ht="12.75">
      <c r="A210" s="178"/>
      <c r="B210" s="178"/>
      <c r="C210" s="178"/>
      <c r="D210" s="178"/>
      <c r="E210" s="178"/>
      <c r="F210" s="178"/>
      <c r="G210" s="178"/>
      <c r="H210" s="178"/>
    </row>
    <row r="211" spans="1:8" ht="12.75">
      <c r="A211" s="178"/>
      <c r="B211" s="178"/>
      <c r="C211" s="178"/>
      <c r="D211" s="178"/>
      <c r="E211" s="178"/>
      <c r="F211" s="178"/>
      <c r="G211" s="178"/>
      <c r="H211" s="178"/>
    </row>
    <row r="212" spans="1:8" ht="12.75">
      <c r="A212" s="178"/>
      <c r="B212" s="178"/>
      <c r="C212" s="178"/>
      <c r="D212" s="178"/>
      <c r="E212" s="178"/>
      <c r="F212" s="178"/>
      <c r="G212" s="178"/>
      <c r="H212" s="178"/>
    </row>
    <row r="213" spans="1:8" ht="12.75">
      <c r="A213" s="178"/>
      <c r="B213" s="178"/>
      <c r="C213" s="178"/>
      <c r="D213" s="178"/>
      <c r="E213" s="178"/>
      <c r="F213" s="178"/>
      <c r="G213" s="178"/>
      <c r="H213" s="178"/>
    </row>
    <row r="214" spans="1:8" ht="12.75">
      <c r="A214" s="178"/>
      <c r="B214" s="178"/>
      <c r="C214" s="178"/>
      <c r="D214" s="178"/>
      <c r="E214" s="178"/>
      <c r="F214" s="178"/>
      <c r="G214" s="178"/>
      <c r="H214" s="178"/>
    </row>
    <row r="215" spans="1:8" ht="12.75">
      <c r="A215" s="178"/>
      <c r="B215" s="178"/>
      <c r="C215" s="178"/>
      <c r="D215" s="178"/>
      <c r="E215" s="178"/>
      <c r="F215" s="178"/>
      <c r="G215" s="178"/>
      <c r="H215" s="178"/>
    </row>
    <row r="216" spans="1:8" ht="12.75">
      <c r="A216" s="178"/>
      <c r="B216" s="178"/>
      <c r="C216" s="178"/>
      <c r="D216" s="178"/>
      <c r="E216" s="178"/>
      <c r="F216" s="178"/>
      <c r="G216" s="178"/>
      <c r="H216" s="178"/>
    </row>
    <row r="217" spans="1:8" ht="12.75">
      <c r="A217" s="178"/>
      <c r="B217" s="178"/>
      <c r="C217" s="178"/>
      <c r="D217" s="178"/>
      <c r="E217" s="178"/>
      <c r="F217" s="178"/>
      <c r="G217" s="178"/>
      <c r="H217" s="178"/>
    </row>
    <row r="218" spans="1:8" ht="12.75">
      <c r="A218" s="178"/>
      <c r="B218" s="178"/>
      <c r="C218" s="178"/>
      <c r="D218" s="178"/>
      <c r="E218" s="178"/>
      <c r="F218" s="178"/>
      <c r="G218" s="178"/>
      <c r="H218" s="178"/>
    </row>
    <row r="219" spans="1:8" ht="12.75">
      <c r="A219" s="178"/>
      <c r="B219" s="178"/>
      <c r="C219" s="178"/>
      <c r="D219" s="178"/>
      <c r="E219" s="178"/>
      <c r="F219" s="178"/>
      <c r="G219" s="178"/>
      <c r="H219" s="178"/>
    </row>
    <row r="220" spans="1:8" ht="12.75">
      <c r="A220" s="178"/>
      <c r="B220" s="178"/>
      <c r="C220" s="178"/>
      <c r="D220" s="178"/>
      <c r="E220" s="178"/>
      <c r="F220" s="178"/>
      <c r="G220" s="178"/>
      <c r="H220" s="178"/>
    </row>
    <row r="221" spans="1:8" ht="12.75">
      <c r="A221" s="178"/>
      <c r="B221" s="178"/>
      <c r="C221" s="178"/>
      <c r="D221" s="178"/>
      <c r="E221" s="178"/>
      <c r="F221" s="178"/>
      <c r="G221" s="178"/>
      <c r="H221" s="178"/>
    </row>
    <row r="222" spans="1:8" ht="12.75">
      <c r="A222" s="178"/>
      <c r="B222" s="178"/>
      <c r="C222" s="178"/>
      <c r="D222" s="178"/>
      <c r="E222" s="178"/>
      <c r="F222" s="178"/>
      <c r="G222" s="178"/>
      <c r="H222" s="178"/>
    </row>
    <row r="223" spans="1:8" ht="12.75">
      <c r="A223" s="178"/>
      <c r="B223" s="178"/>
      <c r="C223" s="178"/>
      <c r="D223" s="178"/>
      <c r="E223" s="178"/>
      <c r="F223" s="178"/>
      <c r="G223" s="178"/>
      <c r="H223" s="178"/>
    </row>
    <row r="224" spans="1:8" ht="12.75">
      <c r="A224" s="178"/>
      <c r="B224" s="178"/>
      <c r="C224" s="178"/>
      <c r="D224" s="178"/>
      <c r="E224" s="178"/>
      <c r="F224" s="178"/>
      <c r="G224" s="178"/>
      <c r="H224" s="178"/>
    </row>
    <row r="225" spans="1:8" ht="12.75">
      <c r="A225" s="178"/>
      <c r="B225" s="178"/>
      <c r="C225" s="178"/>
      <c r="D225" s="178"/>
      <c r="E225" s="178"/>
      <c r="F225" s="178"/>
      <c r="G225" s="178"/>
      <c r="H225" s="178"/>
    </row>
    <row r="226" spans="1:8" ht="12.75">
      <c r="A226" s="178"/>
      <c r="B226" s="178"/>
      <c r="C226" s="178"/>
      <c r="D226" s="178"/>
      <c r="E226" s="178"/>
      <c r="F226" s="178"/>
      <c r="G226" s="178"/>
      <c r="H226" s="178"/>
    </row>
    <row r="227" spans="1:8" ht="12.75">
      <c r="A227" s="178"/>
      <c r="B227" s="178"/>
      <c r="C227" s="178"/>
      <c r="D227" s="178"/>
      <c r="E227" s="178"/>
      <c r="F227" s="178"/>
      <c r="G227" s="178"/>
      <c r="H227" s="178"/>
    </row>
    <row r="228" spans="1:8" ht="12.75">
      <c r="A228" s="178"/>
      <c r="B228" s="178"/>
      <c r="C228" s="178"/>
      <c r="D228" s="178"/>
      <c r="E228" s="178"/>
      <c r="F228" s="178"/>
      <c r="G228" s="178"/>
      <c r="H228" s="178"/>
    </row>
    <row r="229" spans="1:8" ht="12.75">
      <c r="A229" s="178"/>
      <c r="B229" s="178"/>
      <c r="C229" s="178"/>
      <c r="D229" s="178"/>
      <c r="E229" s="178"/>
      <c r="F229" s="178"/>
      <c r="G229" s="178"/>
      <c r="H229" s="178"/>
    </row>
    <row r="230" spans="1:8" ht="12.75">
      <c r="A230" s="178"/>
      <c r="B230" s="178"/>
      <c r="C230" s="178"/>
      <c r="D230" s="178"/>
      <c r="E230" s="178"/>
      <c r="F230" s="178"/>
      <c r="G230" s="178"/>
      <c r="H230" s="178"/>
    </row>
    <row r="231" spans="1:8" ht="12.75">
      <c r="A231" s="178"/>
      <c r="B231" s="178"/>
      <c r="C231" s="178"/>
      <c r="D231" s="178"/>
      <c r="E231" s="178"/>
      <c r="F231" s="178"/>
      <c r="G231" s="178"/>
      <c r="H231" s="178"/>
    </row>
    <row r="232" spans="1:8" ht="12.75">
      <c r="A232" s="178"/>
      <c r="B232" s="178"/>
      <c r="C232" s="178"/>
      <c r="D232" s="178"/>
      <c r="E232" s="178"/>
      <c r="F232" s="178"/>
      <c r="G232" s="178"/>
      <c r="H232" s="178"/>
    </row>
    <row r="233" spans="1:8" ht="12.75">
      <c r="A233" s="178"/>
      <c r="B233" s="178"/>
      <c r="C233" s="178"/>
      <c r="D233" s="178"/>
      <c r="E233" s="178"/>
      <c r="F233" s="178"/>
      <c r="G233" s="178"/>
      <c r="H233" s="178"/>
    </row>
    <row r="234" spans="1:8" ht="12.75">
      <c r="A234" s="178"/>
      <c r="B234" s="178"/>
      <c r="C234" s="178"/>
      <c r="D234" s="178"/>
      <c r="E234" s="178"/>
      <c r="F234" s="178"/>
      <c r="G234" s="178"/>
      <c r="H234" s="178"/>
    </row>
    <row r="235" spans="1:8" ht="12.75">
      <c r="A235" s="178"/>
      <c r="B235" s="178"/>
      <c r="C235" s="178"/>
      <c r="D235" s="178"/>
      <c r="E235" s="178"/>
      <c r="F235" s="178"/>
      <c r="G235" s="178"/>
      <c r="H235" s="178"/>
    </row>
    <row r="236" spans="1:8" ht="12.75">
      <c r="A236" s="178"/>
      <c r="B236" s="178"/>
      <c r="C236" s="178"/>
      <c r="D236" s="178"/>
      <c r="E236" s="178"/>
      <c r="F236" s="178"/>
      <c r="G236" s="178"/>
      <c r="H236" s="178"/>
    </row>
    <row r="237" spans="1:8" ht="12.75">
      <c r="A237" s="178"/>
      <c r="B237" s="178"/>
      <c r="C237" s="178"/>
      <c r="D237" s="178"/>
      <c r="E237" s="178"/>
      <c r="F237" s="178"/>
      <c r="G237" s="178"/>
      <c r="H237" s="178"/>
    </row>
    <row r="238" spans="1:8" ht="12.75">
      <c r="A238" s="178"/>
      <c r="B238" s="178"/>
      <c r="C238" s="178"/>
      <c r="D238" s="178"/>
      <c r="E238" s="178"/>
      <c r="F238" s="178"/>
      <c r="G238" s="178"/>
      <c r="H238" s="178"/>
    </row>
    <row r="239" spans="1:8" ht="12.75">
      <c r="A239" s="178"/>
      <c r="B239" s="178"/>
      <c r="C239" s="178"/>
      <c r="D239" s="178"/>
      <c r="E239" s="178"/>
      <c r="F239" s="178"/>
      <c r="G239" s="178"/>
      <c r="H239" s="178"/>
    </row>
    <row r="240" spans="1:8" ht="12.75">
      <c r="A240" s="178"/>
      <c r="B240" s="178"/>
      <c r="C240" s="178"/>
      <c r="D240" s="178"/>
      <c r="E240" s="178"/>
      <c r="F240" s="178"/>
      <c r="G240" s="178"/>
      <c r="H240" s="178"/>
    </row>
    <row r="241" spans="1:8" ht="12.75">
      <c r="A241" s="178"/>
      <c r="B241" s="178"/>
      <c r="C241" s="178"/>
      <c r="D241" s="178"/>
      <c r="E241" s="178"/>
      <c r="F241" s="178"/>
      <c r="G241" s="178"/>
      <c r="H241" s="178"/>
    </row>
    <row r="242" spans="1:8" ht="12.75">
      <c r="A242" s="178"/>
      <c r="B242" s="178"/>
      <c r="C242" s="178"/>
      <c r="D242" s="178"/>
      <c r="E242" s="178"/>
      <c r="F242" s="178"/>
      <c r="G242" s="178"/>
      <c r="H242" s="178"/>
    </row>
    <row r="243" spans="1:8" ht="12.75">
      <c r="A243" s="178"/>
      <c r="B243" s="178"/>
      <c r="C243" s="178"/>
      <c r="D243" s="178"/>
      <c r="E243" s="178"/>
      <c r="F243" s="178"/>
      <c r="G243" s="178"/>
      <c r="H243" s="178"/>
    </row>
    <row r="244" spans="1:8" ht="12.75">
      <c r="A244" s="178"/>
      <c r="B244" s="178"/>
      <c r="C244" s="178"/>
      <c r="D244" s="178"/>
      <c r="E244" s="178"/>
      <c r="F244" s="178"/>
      <c r="G244" s="178"/>
      <c r="H244" s="178"/>
    </row>
    <row r="245" spans="1:8" ht="12.75">
      <c r="A245" s="178"/>
      <c r="B245" s="178"/>
      <c r="C245" s="178"/>
      <c r="D245" s="178"/>
      <c r="E245" s="178"/>
      <c r="F245" s="178"/>
      <c r="G245" s="178"/>
      <c r="H245" s="178"/>
    </row>
    <row r="246" spans="1:8" ht="12.75">
      <c r="A246" s="178"/>
      <c r="B246" s="178"/>
      <c r="C246" s="178"/>
      <c r="D246" s="178"/>
      <c r="E246" s="178"/>
      <c r="F246" s="178"/>
      <c r="G246" s="178"/>
      <c r="H246" s="178"/>
    </row>
    <row r="247" spans="1:8" ht="12.75">
      <c r="A247" s="178"/>
      <c r="B247" s="178"/>
      <c r="C247" s="178"/>
      <c r="D247" s="178"/>
      <c r="E247" s="178"/>
      <c r="F247" s="178"/>
      <c r="G247" s="178"/>
      <c r="H247" s="178"/>
    </row>
    <row r="248" spans="1:8" ht="12.75">
      <c r="A248" s="178"/>
      <c r="B248" s="178"/>
      <c r="C248" s="178"/>
      <c r="D248" s="178"/>
      <c r="E248" s="178"/>
      <c r="F248" s="178"/>
      <c r="G248" s="178"/>
      <c r="H248" s="178"/>
    </row>
    <row r="249" spans="1:8" ht="12.75">
      <c r="A249" s="178"/>
      <c r="B249" s="178"/>
      <c r="C249" s="178"/>
      <c r="D249" s="178"/>
      <c r="E249" s="178"/>
      <c r="F249" s="178"/>
      <c r="G249" s="178"/>
      <c r="H249" s="178"/>
    </row>
    <row r="250" spans="1:8" ht="12.75">
      <c r="A250" s="178"/>
      <c r="B250" s="178"/>
      <c r="C250" s="178"/>
      <c r="D250" s="178"/>
      <c r="E250" s="178"/>
      <c r="F250" s="178"/>
      <c r="G250" s="178"/>
      <c r="H250" s="178"/>
    </row>
    <row r="251" spans="1:8" ht="12.75">
      <c r="A251" s="178"/>
      <c r="B251" s="178"/>
      <c r="C251" s="178"/>
      <c r="D251" s="178"/>
      <c r="E251" s="178"/>
      <c r="F251" s="178"/>
      <c r="G251" s="178"/>
      <c r="H251" s="178"/>
    </row>
    <row r="252" spans="1:8" ht="12.75">
      <c r="A252" s="178"/>
      <c r="B252" s="178"/>
      <c r="C252" s="178"/>
      <c r="D252" s="178"/>
      <c r="E252" s="178"/>
      <c r="F252" s="178"/>
      <c r="G252" s="178"/>
      <c r="H252" s="178"/>
    </row>
    <row r="253" spans="1:8" ht="12.75">
      <c r="A253" s="178"/>
      <c r="B253" s="178"/>
      <c r="C253" s="178"/>
      <c r="D253" s="178"/>
      <c r="E253" s="178"/>
      <c r="F253" s="178"/>
      <c r="G253" s="178"/>
      <c r="H253" s="178"/>
    </row>
    <row r="254" spans="1:8" ht="12.75">
      <c r="A254" s="178"/>
      <c r="B254" s="178"/>
      <c r="C254" s="178"/>
      <c r="D254" s="178"/>
      <c r="E254" s="178"/>
      <c r="F254" s="178"/>
      <c r="G254" s="178"/>
      <c r="H254" s="178"/>
    </row>
    <row r="255" spans="1:8" ht="12.75">
      <c r="A255" s="178"/>
      <c r="B255" s="178"/>
      <c r="C255" s="178"/>
      <c r="D255" s="178"/>
      <c r="E255" s="178"/>
      <c r="F255" s="178"/>
      <c r="G255" s="178"/>
      <c r="H255" s="178"/>
    </row>
    <row r="256" spans="1:8" ht="12.75">
      <c r="A256" s="178"/>
      <c r="B256" s="178"/>
      <c r="C256" s="178"/>
      <c r="D256" s="178"/>
      <c r="E256" s="178"/>
      <c r="F256" s="178"/>
      <c r="G256" s="178"/>
      <c r="H256" s="178"/>
    </row>
    <row r="257" spans="1:8" ht="12.75">
      <c r="A257" s="178"/>
      <c r="B257" s="178"/>
      <c r="C257" s="178"/>
      <c r="D257" s="178"/>
      <c r="E257" s="178"/>
      <c r="F257" s="178"/>
      <c r="G257" s="178"/>
      <c r="H257" s="178"/>
    </row>
    <row r="258" spans="1:8" ht="12.75">
      <c r="A258" s="178"/>
      <c r="B258" s="178"/>
      <c r="C258" s="178"/>
      <c r="D258" s="178"/>
      <c r="E258" s="178"/>
      <c r="F258" s="178"/>
      <c r="G258" s="178"/>
      <c r="H258" s="178"/>
    </row>
    <row r="259" spans="1:8" ht="12.75">
      <c r="A259" s="178"/>
      <c r="B259" s="178"/>
      <c r="C259" s="178"/>
      <c r="D259" s="178"/>
      <c r="E259" s="178"/>
      <c r="F259" s="178"/>
      <c r="G259" s="178"/>
      <c r="H259" s="178"/>
    </row>
    <row r="260" spans="1:8" ht="12.75">
      <c r="A260" s="178"/>
      <c r="B260" s="178"/>
      <c r="C260" s="178"/>
      <c r="D260" s="178"/>
      <c r="E260" s="178"/>
      <c r="F260" s="178"/>
      <c r="G260" s="178"/>
      <c r="H260" s="178"/>
    </row>
    <row r="261" spans="1:8" ht="12.75">
      <c r="A261" s="178"/>
      <c r="B261" s="178"/>
      <c r="C261" s="178"/>
      <c r="D261" s="178"/>
      <c r="E261" s="178"/>
      <c r="F261" s="178"/>
      <c r="G261" s="178"/>
      <c r="H261" s="178"/>
    </row>
    <row r="262" spans="1:8" ht="12.75">
      <c r="A262" s="178"/>
      <c r="B262" s="178"/>
      <c r="C262" s="178"/>
      <c r="D262" s="178"/>
      <c r="E262" s="178"/>
      <c r="F262" s="178"/>
      <c r="G262" s="178"/>
      <c r="H262" s="178"/>
    </row>
    <row r="263" spans="1:8" ht="12.75">
      <c r="A263" s="178"/>
      <c r="B263" s="178"/>
      <c r="C263" s="178"/>
      <c r="D263" s="178"/>
      <c r="E263" s="178"/>
      <c r="F263" s="178"/>
      <c r="G263" s="178"/>
      <c r="H263" s="178"/>
    </row>
    <row r="264" spans="1:8" ht="12.75">
      <c r="A264" s="178"/>
      <c r="B264" s="178"/>
      <c r="C264" s="178"/>
      <c r="D264" s="178"/>
      <c r="E264" s="178"/>
      <c r="F264" s="178"/>
      <c r="G264" s="178"/>
      <c r="H264" s="178"/>
    </row>
    <row r="265" spans="1:8" ht="12.75">
      <c r="A265" s="178"/>
      <c r="B265" s="178"/>
      <c r="C265" s="178"/>
      <c r="D265" s="178"/>
      <c r="E265" s="178"/>
      <c r="F265" s="178"/>
      <c r="G265" s="178"/>
      <c r="H265" s="178"/>
    </row>
    <row r="266" spans="1:8" ht="12.75">
      <c r="A266" s="178"/>
      <c r="B266" s="178"/>
      <c r="C266" s="178"/>
      <c r="D266" s="178"/>
      <c r="E266" s="178"/>
      <c r="F266" s="178"/>
      <c r="G266" s="178"/>
      <c r="H266" s="178"/>
    </row>
    <row r="267" spans="1:8" ht="12.75">
      <c r="A267" s="178"/>
      <c r="B267" s="178"/>
      <c r="C267" s="178"/>
      <c r="D267" s="178"/>
      <c r="E267" s="178"/>
      <c r="F267" s="178"/>
      <c r="G267" s="178"/>
      <c r="H267" s="178"/>
    </row>
    <row r="268" spans="1:8" ht="12.75">
      <c r="A268" s="178"/>
      <c r="B268" s="178"/>
      <c r="C268" s="178"/>
      <c r="D268" s="178"/>
      <c r="E268" s="178"/>
      <c r="F268" s="178"/>
      <c r="G268" s="178"/>
      <c r="H268" s="178"/>
    </row>
    <row r="269" spans="1:8" ht="12.75">
      <c r="A269" s="178"/>
      <c r="B269" s="178"/>
      <c r="C269" s="178"/>
      <c r="D269" s="178"/>
      <c r="E269" s="178"/>
      <c r="F269" s="178"/>
      <c r="G269" s="178"/>
      <c r="H269" s="178"/>
    </row>
    <row r="270" spans="1:8" ht="12.75">
      <c r="A270" s="178"/>
      <c r="B270" s="178"/>
      <c r="C270" s="178"/>
      <c r="D270" s="178"/>
      <c r="E270" s="178"/>
      <c r="F270" s="178"/>
      <c r="G270" s="178"/>
      <c r="H270" s="178"/>
    </row>
    <row r="271" spans="1:8" ht="12.75">
      <c r="A271" s="178"/>
      <c r="B271" s="178"/>
      <c r="C271" s="178"/>
      <c r="D271" s="178"/>
      <c r="E271" s="178"/>
      <c r="F271" s="178"/>
      <c r="G271" s="178"/>
      <c r="H271" s="178"/>
    </row>
    <row r="272" spans="1:8" ht="12.75">
      <c r="A272" s="178"/>
      <c r="B272" s="178"/>
      <c r="C272" s="178"/>
      <c r="D272" s="178"/>
      <c r="E272" s="178"/>
      <c r="F272" s="178"/>
      <c r="G272" s="178"/>
      <c r="H272" s="178"/>
    </row>
    <row r="273" spans="1:8" ht="12.75">
      <c r="A273" s="178"/>
      <c r="B273" s="178"/>
      <c r="C273" s="178"/>
      <c r="D273" s="178"/>
      <c r="E273" s="178"/>
      <c r="F273" s="178"/>
      <c r="G273" s="178"/>
      <c r="H273" s="178"/>
    </row>
    <row r="274" spans="1:8" ht="12.75">
      <c r="A274" s="178"/>
      <c r="B274" s="178"/>
      <c r="C274" s="178"/>
      <c r="D274" s="178"/>
      <c r="E274" s="178"/>
      <c r="F274" s="178"/>
      <c r="G274" s="178"/>
      <c r="H274" s="178"/>
    </row>
    <row r="275" spans="1:8" ht="12.75">
      <c r="A275" s="178"/>
      <c r="B275" s="178"/>
      <c r="C275" s="178"/>
      <c r="D275" s="178"/>
      <c r="E275" s="178"/>
      <c r="F275" s="178"/>
      <c r="G275" s="178"/>
      <c r="H275" s="178"/>
    </row>
    <row r="276" spans="1:8" ht="12.75">
      <c r="A276" s="178"/>
      <c r="B276" s="178"/>
      <c r="C276" s="178"/>
      <c r="D276" s="178"/>
      <c r="E276" s="178"/>
      <c r="F276" s="178"/>
      <c r="G276" s="178"/>
      <c r="H276" s="178"/>
    </row>
    <row r="277" spans="1:8" ht="12.75">
      <c r="A277" s="178"/>
      <c r="B277" s="178"/>
      <c r="C277" s="178"/>
      <c r="D277" s="178"/>
      <c r="E277" s="178"/>
      <c r="F277" s="178"/>
      <c r="G277" s="178"/>
      <c r="H277" s="178"/>
    </row>
    <row r="278" spans="1:8" ht="12.75">
      <c r="A278" s="178"/>
      <c r="B278" s="178"/>
      <c r="C278" s="178"/>
      <c r="D278" s="178"/>
      <c r="E278" s="178"/>
      <c r="F278" s="178"/>
      <c r="G278" s="178"/>
      <c r="H278" s="178"/>
    </row>
    <row r="279" spans="1:8" ht="12.75">
      <c r="A279" s="178"/>
      <c r="B279" s="178"/>
      <c r="C279" s="178"/>
      <c r="D279" s="178"/>
      <c r="E279" s="178"/>
      <c r="F279" s="178"/>
      <c r="G279" s="178"/>
      <c r="H279" s="178"/>
    </row>
    <row r="280" spans="1:8" ht="12.75">
      <c r="A280" s="178"/>
      <c r="B280" s="178"/>
      <c r="C280" s="178"/>
      <c r="D280" s="178"/>
      <c r="E280" s="178"/>
      <c r="F280" s="178"/>
      <c r="G280" s="178"/>
      <c r="H280" s="178"/>
    </row>
    <row r="281" spans="1:8" ht="12.75">
      <c r="A281" s="178"/>
      <c r="B281" s="178"/>
      <c r="C281" s="178"/>
      <c r="D281" s="178"/>
      <c r="E281" s="178"/>
      <c r="F281" s="178"/>
      <c r="G281" s="178"/>
      <c r="H281" s="178"/>
    </row>
    <row r="282" spans="1:8" ht="12.75">
      <c r="A282" s="178"/>
      <c r="B282" s="178"/>
      <c r="C282" s="178"/>
      <c r="D282" s="178"/>
      <c r="E282" s="178"/>
      <c r="F282" s="178"/>
      <c r="G282" s="178"/>
      <c r="H282" s="178"/>
    </row>
    <row r="283" spans="1:8" ht="12.75">
      <c r="A283" s="178"/>
      <c r="B283" s="178"/>
      <c r="C283" s="178"/>
      <c r="D283" s="178"/>
      <c r="E283" s="178"/>
      <c r="F283" s="178"/>
      <c r="G283" s="178"/>
      <c r="H283" s="178"/>
    </row>
    <row r="284" spans="1:8" ht="12.75">
      <c r="A284" s="178"/>
      <c r="B284" s="178"/>
      <c r="C284" s="178"/>
      <c r="D284" s="178"/>
      <c r="E284" s="178"/>
      <c r="F284" s="178"/>
      <c r="G284" s="178"/>
      <c r="H284" s="178"/>
    </row>
    <row r="285" spans="1:8" ht="12.75">
      <c r="A285" s="178"/>
      <c r="B285" s="178"/>
      <c r="C285" s="178"/>
      <c r="D285" s="178"/>
      <c r="E285" s="178"/>
      <c r="F285" s="178"/>
      <c r="G285" s="178"/>
      <c r="H285" s="178"/>
    </row>
    <row r="286" spans="1:8" ht="12.75">
      <c r="A286" s="178"/>
      <c r="B286" s="178"/>
      <c r="C286" s="178"/>
      <c r="D286" s="178"/>
      <c r="E286" s="178"/>
      <c r="F286" s="178"/>
      <c r="G286" s="178"/>
      <c r="H286" s="178"/>
    </row>
    <row r="287" spans="1:8" ht="12.75">
      <c r="A287" s="178"/>
      <c r="B287" s="178"/>
      <c r="C287" s="178"/>
      <c r="D287" s="178"/>
      <c r="E287" s="178"/>
      <c r="F287" s="178"/>
      <c r="G287" s="178"/>
      <c r="H287" s="178"/>
    </row>
    <row r="288" spans="1:8" ht="12.75">
      <c r="A288" s="178"/>
      <c r="B288" s="178"/>
      <c r="C288" s="178"/>
      <c r="D288" s="178"/>
      <c r="E288" s="178"/>
      <c r="F288" s="178"/>
      <c r="G288" s="178"/>
      <c r="H288" s="178"/>
    </row>
    <row r="289" spans="1:8" ht="12.75">
      <c r="A289" s="178"/>
      <c r="B289" s="178"/>
      <c r="C289" s="178"/>
      <c r="D289" s="178"/>
      <c r="E289" s="178"/>
      <c r="F289" s="178"/>
      <c r="G289" s="178"/>
      <c r="H289" s="178"/>
    </row>
    <row r="290" spans="1:8" ht="12.75">
      <c r="A290" s="178"/>
      <c r="B290" s="178"/>
      <c r="C290" s="178"/>
      <c r="D290" s="178"/>
      <c r="E290" s="178"/>
      <c r="F290" s="178"/>
      <c r="G290" s="178"/>
      <c r="H290" s="178"/>
    </row>
    <row r="291" spans="1:8" ht="12.75">
      <c r="A291" s="178"/>
      <c r="B291" s="178"/>
      <c r="C291" s="178"/>
      <c r="D291" s="178"/>
      <c r="E291" s="178"/>
      <c r="F291" s="178"/>
      <c r="G291" s="178"/>
      <c r="H291" s="178"/>
    </row>
    <row r="292" spans="1:8" ht="12.75">
      <c r="A292" s="178"/>
      <c r="B292" s="178"/>
      <c r="C292" s="178"/>
      <c r="D292" s="178"/>
      <c r="E292" s="178"/>
      <c r="F292" s="178"/>
      <c r="G292" s="178"/>
      <c r="H292" s="178"/>
    </row>
    <row r="293" spans="1:8" ht="12.75">
      <c r="A293" s="178"/>
      <c r="B293" s="178"/>
      <c r="C293" s="178"/>
      <c r="D293" s="178"/>
      <c r="E293" s="178"/>
      <c r="F293" s="178"/>
      <c r="G293" s="178"/>
      <c r="H293" s="178"/>
    </row>
    <row r="294" spans="1:8" ht="12.75">
      <c r="A294" s="178"/>
      <c r="B294" s="178"/>
      <c r="C294" s="178"/>
      <c r="D294" s="178"/>
      <c r="E294" s="178"/>
      <c r="F294" s="178"/>
      <c r="G294" s="178"/>
      <c r="H294" s="178"/>
    </row>
    <row r="295" spans="1:8" ht="12.75">
      <c r="A295" s="178"/>
      <c r="B295" s="178"/>
      <c r="C295" s="178"/>
      <c r="D295" s="178"/>
      <c r="E295" s="178"/>
      <c r="F295" s="178"/>
      <c r="G295" s="178"/>
      <c r="H295" s="178"/>
    </row>
    <row r="296" spans="1:8" ht="12.75">
      <c r="A296" s="178"/>
      <c r="B296" s="178"/>
      <c r="C296" s="178"/>
      <c r="D296" s="178"/>
      <c r="E296" s="178"/>
      <c r="F296" s="178"/>
      <c r="G296" s="178"/>
      <c r="H296" s="178"/>
    </row>
    <row r="297" spans="1:8" ht="12.75">
      <c r="A297" s="178"/>
      <c r="B297" s="178"/>
      <c r="C297" s="178"/>
      <c r="D297" s="178"/>
      <c r="E297" s="178"/>
      <c r="F297" s="178"/>
      <c r="G297" s="178"/>
      <c r="H297" s="178"/>
    </row>
    <row r="298" spans="1:8" ht="12.75">
      <c r="A298" s="178"/>
      <c r="B298" s="178"/>
      <c r="C298" s="178"/>
      <c r="D298" s="178"/>
      <c r="E298" s="178"/>
      <c r="F298" s="178"/>
      <c r="G298" s="178"/>
      <c r="H298" s="178"/>
    </row>
    <row r="299" spans="1:8" ht="12.75">
      <c r="A299" s="178"/>
      <c r="B299" s="178"/>
      <c r="C299" s="178"/>
      <c r="D299" s="178"/>
      <c r="E299" s="178"/>
      <c r="F299" s="178"/>
      <c r="G299" s="178"/>
      <c r="H299" s="178"/>
    </row>
    <row r="300" spans="1:8" ht="12.75">
      <c r="A300" s="178"/>
      <c r="B300" s="178"/>
      <c r="C300" s="178"/>
      <c r="D300" s="178"/>
      <c r="E300" s="178"/>
      <c r="F300" s="178"/>
      <c r="G300" s="178"/>
      <c r="H300" s="178"/>
    </row>
    <row r="301" spans="1:8" ht="12.75">
      <c r="A301" s="178"/>
      <c r="B301" s="178"/>
      <c r="C301" s="178"/>
      <c r="D301" s="178"/>
      <c r="E301" s="178"/>
      <c r="F301" s="178"/>
      <c r="G301" s="178"/>
      <c r="H301" s="178"/>
    </row>
    <row r="302" spans="1:8" ht="12.75">
      <c r="A302" s="178"/>
      <c r="B302" s="178"/>
      <c r="C302" s="178"/>
      <c r="D302" s="178"/>
      <c r="E302" s="178"/>
      <c r="F302" s="178"/>
      <c r="G302" s="178"/>
      <c r="H302" s="178"/>
    </row>
    <row r="303" spans="1:8" ht="12.75">
      <c r="A303" s="178"/>
      <c r="B303" s="178"/>
      <c r="C303" s="178"/>
      <c r="D303" s="178"/>
      <c r="E303" s="178"/>
      <c r="F303" s="178"/>
      <c r="G303" s="178"/>
      <c r="H303" s="178"/>
    </row>
    <row r="304" spans="1:8" ht="12.75">
      <c r="A304" s="178"/>
      <c r="B304" s="178"/>
      <c r="C304" s="178"/>
      <c r="D304" s="178"/>
      <c r="E304" s="178"/>
      <c r="F304" s="178"/>
      <c r="G304" s="178"/>
      <c r="H304" s="178"/>
    </row>
    <row r="305" spans="1:8" ht="12.75">
      <c r="A305" s="178"/>
      <c r="B305" s="178"/>
      <c r="C305" s="178"/>
      <c r="D305" s="178"/>
      <c r="E305" s="178"/>
      <c r="F305" s="178"/>
      <c r="G305" s="178"/>
      <c r="H305" s="178"/>
    </row>
    <row r="306" spans="1:8" ht="12.75">
      <c r="A306" s="178"/>
      <c r="B306" s="178"/>
      <c r="C306" s="178"/>
      <c r="D306" s="178"/>
      <c r="E306" s="178"/>
      <c r="F306" s="178"/>
      <c r="G306" s="178"/>
      <c r="H306" s="178"/>
    </row>
    <row r="307" spans="1:8" ht="12.75">
      <c r="A307" s="178"/>
      <c r="B307" s="178"/>
      <c r="C307" s="178"/>
      <c r="D307" s="178"/>
      <c r="E307" s="178"/>
      <c r="F307" s="178"/>
      <c r="G307" s="178"/>
      <c r="H307" s="178"/>
    </row>
    <row r="308" spans="1:8" ht="12.75">
      <c r="A308" s="178"/>
      <c r="B308" s="178"/>
      <c r="C308" s="178"/>
      <c r="D308" s="178"/>
      <c r="E308" s="178"/>
      <c r="F308" s="178"/>
      <c r="G308" s="178"/>
      <c r="H308" s="178"/>
    </row>
    <row r="309" spans="1:8" ht="12.75">
      <c r="A309" s="178"/>
      <c r="B309" s="178"/>
      <c r="C309" s="178"/>
      <c r="D309" s="178"/>
      <c r="E309" s="178"/>
      <c r="F309" s="178"/>
      <c r="G309" s="178"/>
      <c r="H309" s="178"/>
    </row>
    <row r="310" spans="1:8" ht="12.75">
      <c r="A310" s="178"/>
      <c r="B310" s="178"/>
      <c r="C310" s="178"/>
      <c r="D310" s="178"/>
      <c r="E310" s="178"/>
      <c r="F310" s="178"/>
      <c r="G310" s="178"/>
      <c r="H310" s="178"/>
    </row>
    <row r="311" spans="1:8" ht="12.75">
      <c r="A311" s="178"/>
      <c r="B311" s="178"/>
      <c r="C311" s="178"/>
      <c r="D311" s="178"/>
      <c r="E311" s="178"/>
      <c r="F311" s="178"/>
      <c r="G311" s="178"/>
      <c r="H311" s="178"/>
    </row>
    <row r="312" spans="1:8" ht="12.75">
      <c r="A312" s="178"/>
      <c r="B312" s="178"/>
      <c r="C312" s="178"/>
      <c r="D312" s="178"/>
      <c r="E312" s="178"/>
      <c r="F312" s="178"/>
      <c r="G312" s="178"/>
      <c r="H312" s="178"/>
    </row>
    <row r="313" spans="1:8" ht="12.75">
      <c r="A313" s="178"/>
      <c r="B313" s="178"/>
      <c r="C313" s="178"/>
      <c r="D313" s="178"/>
      <c r="E313" s="178"/>
      <c r="F313" s="178"/>
      <c r="G313" s="178"/>
      <c r="H313" s="178"/>
    </row>
    <row r="314" spans="1:8" ht="12.75">
      <c r="A314" s="178"/>
      <c r="B314" s="178"/>
      <c r="C314" s="178"/>
      <c r="D314" s="178"/>
      <c r="E314" s="178"/>
      <c r="F314" s="178"/>
      <c r="G314" s="178"/>
      <c r="H314" s="178"/>
    </row>
    <row r="315" spans="1:8" ht="12.75">
      <c r="A315" s="178"/>
      <c r="B315" s="178"/>
      <c r="C315" s="178"/>
      <c r="D315" s="178"/>
      <c r="E315" s="178"/>
      <c r="F315" s="178"/>
      <c r="G315" s="178"/>
      <c r="H315" s="178"/>
    </row>
    <row r="316" spans="1:8" ht="12.75">
      <c r="A316" s="178"/>
      <c r="B316" s="178"/>
      <c r="C316" s="178"/>
      <c r="D316" s="178"/>
      <c r="E316" s="178"/>
      <c r="F316" s="178"/>
      <c r="G316" s="178"/>
      <c r="H316" s="178"/>
    </row>
    <row r="317" spans="1:8" ht="12.75">
      <c r="A317" s="178"/>
      <c r="B317" s="178"/>
      <c r="C317" s="178"/>
      <c r="D317" s="178"/>
      <c r="E317" s="178"/>
      <c r="F317" s="178"/>
      <c r="G317" s="178"/>
      <c r="H317" s="178"/>
    </row>
    <row r="318" spans="1:8" ht="12.75">
      <c r="A318" s="178"/>
      <c r="B318" s="178"/>
      <c r="C318" s="178"/>
      <c r="D318" s="178"/>
      <c r="E318" s="178"/>
      <c r="F318" s="178"/>
      <c r="G318" s="178"/>
      <c r="H318" s="178"/>
    </row>
    <row r="319" spans="1:8" ht="12.75">
      <c r="A319" s="178"/>
      <c r="B319" s="178"/>
      <c r="C319" s="178"/>
      <c r="D319" s="178"/>
      <c r="E319" s="178"/>
      <c r="F319" s="178"/>
      <c r="G319" s="178"/>
      <c r="H319" s="178"/>
    </row>
    <row r="320" spans="1:8" ht="12.75">
      <c r="A320" s="178"/>
      <c r="B320" s="178"/>
      <c r="C320" s="178"/>
      <c r="D320" s="178"/>
      <c r="E320" s="178"/>
      <c r="F320" s="178"/>
      <c r="G320" s="178"/>
      <c r="H320" s="178"/>
    </row>
    <row r="321" spans="1:8" ht="12.75">
      <c r="A321" s="178"/>
      <c r="B321" s="178"/>
      <c r="C321" s="178"/>
      <c r="D321" s="178"/>
      <c r="E321" s="178"/>
      <c r="F321" s="178"/>
      <c r="G321" s="178"/>
      <c r="H321" s="178"/>
    </row>
    <row r="322" spans="1:8" ht="12.75">
      <c r="A322" s="178"/>
      <c r="B322" s="178"/>
      <c r="C322" s="178"/>
      <c r="D322" s="178"/>
      <c r="E322" s="178"/>
      <c r="F322" s="178"/>
      <c r="G322" s="178"/>
      <c r="H322" s="178"/>
    </row>
    <row r="323" spans="1:8" ht="12.75">
      <c r="A323" s="178"/>
      <c r="B323" s="178"/>
      <c r="C323" s="178"/>
      <c r="D323" s="178"/>
      <c r="E323" s="178"/>
      <c r="F323" s="178"/>
      <c r="G323" s="178"/>
      <c r="H323" s="178"/>
    </row>
    <row r="324" spans="1:8" ht="12.75">
      <c r="A324" s="178"/>
      <c r="B324" s="178"/>
      <c r="C324" s="178"/>
      <c r="D324" s="178"/>
      <c r="E324" s="178"/>
      <c r="F324" s="178"/>
      <c r="G324" s="178"/>
      <c r="H324" s="178"/>
    </row>
    <row r="325" spans="1:8" ht="12.75">
      <c r="A325" s="178"/>
      <c r="B325" s="178"/>
      <c r="C325" s="178"/>
      <c r="D325" s="178"/>
      <c r="E325" s="178"/>
      <c r="F325" s="178"/>
      <c r="G325" s="178"/>
      <c r="H325" s="178"/>
    </row>
    <row r="326" spans="1:8" ht="12.75">
      <c r="A326" s="178"/>
      <c r="B326" s="178"/>
      <c r="C326" s="178"/>
      <c r="D326" s="178"/>
      <c r="E326" s="178"/>
      <c r="F326" s="178"/>
      <c r="G326" s="178"/>
      <c r="H326" s="178"/>
    </row>
    <row r="327" spans="1:8" ht="12.75">
      <c r="A327" s="178"/>
      <c r="B327" s="178"/>
      <c r="C327" s="178"/>
      <c r="D327" s="178"/>
      <c r="E327" s="178"/>
      <c r="F327" s="178"/>
      <c r="G327" s="178"/>
      <c r="H327" s="178"/>
    </row>
    <row r="328" spans="1:8" ht="12.75">
      <c r="A328" s="178"/>
      <c r="B328" s="178"/>
      <c r="C328" s="178"/>
      <c r="D328" s="178"/>
      <c r="E328" s="178"/>
      <c r="F328" s="178"/>
      <c r="G328" s="178"/>
      <c r="H328" s="178"/>
    </row>
    <row r="329" spans="1:8" ht="12.75">
      <c r="A329" s="178"/>
      <c r="B329" s="178"/>
      <c r="C329" s="178"/>
      <c r="D329" s="178"/>
      <c r="E329" s="178"/>
      <c r="F329" s="178"/>
      <c r="G329" s="178"/>
      <c r="H329" s="178"/>
    </row>
    <row r="330" spans="1:8" ht="12.75">
      <c r="A330" s="178"/>
      <c r="B330" s="178"/>
      <c r="C330" s="178"/>
      <c r="D330" s="178"/>
      <c r="E330" s="178"/>
      <c r="F330" s="178"/>
      <c r="G330" s="178"/>
      <c r="H330" s="178"/>
    </row>
    <row r="331" spans="1:8" ht="12.75">
      <c r="A331" s="178"/>
      <c r="B331" s="178"/>
      <c r="C331" s="178"/>
      <c r="D331" s="178"/>
      <c r="E331" s="178"/>
      <c r="F331" s="178"/>
      <c r="G331" s="178"/>
      <c r="H331" s="178"/>
    </row>
    <row r="332" spans="1:8" ht="12.75">
      <c r="A332" s="178"/>
      <c r="B332" s="178"/>
      <c r="C332" s="178"/>
      <c r="D332" s="178"/>
      <c r="E332" s="178"/>
      <c r="F332" s="178"/>
      <c r="G332" s="178"/>
      <c r="H332" s="178"/>
    </row>
    <row r="333" spans="1:8" ht="12.75">
      <c r="A333" s="178"/>
      <c r="B333" s="178"/>
      <c r="C333" s="178"/>
      <c r="D333" s="178"/>
      <c r="E333" s="178"/>
      <c r="F333" s="178"/>
      <c r="G333" s="178"/>
      <c r="H333" s="178"/>
    </row>
    <row r="334" spans="1:8" ht="12.75">
      <c r="A334" s="178"/>
      <c r="B334" s="178"/>
      <c r="C334" s="178"/>
      <c r="D334" s="178"/>
      <c r="E334" s="178"/>
      <c r="F334" s="178"/>
      <c r="G334" s="178"/>
      <c r="H334" s="178"/>
    </row>
    <row r="335" spans="1:8" ht="12.75">
      <c r="A335" s="178"/>
      <c r="B335" s="178"/>
      <c r="C335" s="178"/>
      <c r="D335" s="178"/>
      <c r="E335" s="178"/>
      <c r="F335" s="178"/>
      <c r="G335" s="178"/>
      <c r="H335" s="178"/>
    </row>
    <row r="336" spans="1:8" ht="12.75">
      <c r="A336" s="178"/>
      <c r="B336" s="178"/>
      <c r="C336" s="178"/>
      <c r="D336" s="178"/>
      <c r="E336" s="178"/>
      <c r="F336" s="178"/>
      <c r="G336" s="178"/>
      <c r="H336" s="178"/>
    </row>
    <row r="337" spans="1:8" ht="12.75">
      <c r="A337" s="178"/>
      <c r="B337" s="178"/>
      <c r="C337" s="178"/>
      <c r="D337" s="178"/>
      <c r="E337" s="178"/>
      <c r="F337" s="178"/>
      <c r="G337" s="178"/>
      <c r="H337" s="178"/>
    </row>
    <row r="338" spans="1:8" ht="12.75">
      <c r="A338" s="178"/>
      <c r="B338" s="178"/>
      <c r="C338" s="178"/>
      <c r="D338" s="178"/>
      <c r="E338" s="178"/>
      <c r="F338" s="178"/>
      <c r="G338" s="178"/>
      <c r="H338" s="178"/>
    </row>
    <row r="339" spans="1:8" ht="12.75">
      <c r="A339" s="178"/>
      <c r="B339" s="178"/>
      <c r="C339" s="178"/>
      <c r="D339" s="178"/>
      <c r="E339" s="178"/>
      <c r="F339" s="178"/>
      <c r="G339" s="178"/>
      <c r="H339" s="178"/>
    </row>
    <row r="340" spans="1:8" ht="12.75">
      <c r="A340" s="178"/>
      <c r="B340" s="178"/>
      <c r="C340" s="178"/>
      <c r="D340" s="178"/>
      <c r="E340" s="178"/>
      <c r="F340" s="178"/>
      <c r="G340" s="178"/>
      <c r="H340" s="178"/>
    </row>
    <row r="341" spans="1:8" ht="12.75">
      <c r="A341" s="178"/>
      <c r="B341" s="178"/>
      <c r="C341" s="178"/>
      <c r="D341" s="178"/>
      <c r="E341" s="178"/>
      <c r="F341" s="178"/>
      <c r="G341" s="178"/>
      <c r="H341" s="178"/>
    </row>
    <row r="342" spans="1:8" ht="12.75">
      <c r="A342" s="178"/>
      <c r="B342" s="178"/>
      <c r="C342" s="178"/>
      <c r="D342" s="178"/>
      <c r="E342" s="178"/>
      <c r="F342" s="178"/>
      <c r="G342" s="178"/>
      <c r="H342" s="178"/>
    </row>
    <row r="343" spans="1:8" ht="12.75">
      <c r="A343" s="178"/>
      <c r="B343" s="178"/>
      <c r="C343" s="178"/>
      <c r="D343" s="178"/>
      <c r="E343" s="178"/>
      <c r="F343" s="178"/>
      <c r="G343" s="178"/>
      <c r="H343" s="178"/>
    </row>
    <row r="344" spans="1:8" ht="12.75">
      <c r="A344" s="178"/>
      <c r="B344" s="178"/>
      <c r="C344" s="178"/>
      <c r="D344" s="178"/>
      <c r="E344" s="178"/>
      <c r="F344" s="178"/>
      <c r="G344" s="178"/>
      <c r="H344" s="178"/>
    </row>
    <row r="345" spans="1:8" ht="12.75">
      <c r="A345" s="178"/>
      <c r="B345" s="178"/>
      <c r="C345" s="178"/>
      <c r="D345" s="178"/>
      <c r="E345" s="178"/>
      <c r="F345" s="178"/>
      <c r="G345" s="178"/>
      <c r="H345" s="178"/>
    </row>
    <row r="346" spans="1:8" ht="12.75">
      <c r="A346" s="178"/>
      <c r="B346" s="178"/>
      <c r="C346" s="178"/>
      <c r="D346" s="178"/>
      <c r="E346" s="178"/>
      <c r="F346" s="178"/>
      <c r="G346" s="178"/>
      <c r="H346" s="178"/>
    </row>
    <row r="347" spans="1:8" ht="12.75">
      <c r="A347" s="178"/>
      <c r="B347" s="178"/>
      <c r="C347" s="178"/>
      <c r="D347" s="178"/>
      <c r="E347" s="178"/>
      <c r="F347" s="178"/>
      <c r="G347" s="178"/>
      <c r="H347" s="178"/>
    </row>
    <row r="348" spans="1:8" ht="12.75">
      <c r="A348" s="178"/>
      <c r="B348" s="178"/>
      <c r="C348" s="178"/>
      <c r="D348" s="178"/>
      <c r="E348" s="178"/>
      <c r="F348" s="178"/>
      <c r="G348" s="178"/>
      <c r="H348" s="178"/>
    </row>
    <row r="349" spans="1:8" ht="12.75">
      <c r="A349" s="178"/>
      <c r="B349" s="178"/>
      <c r="C349" s="178"/>
      <c r="D349" s="178"/>
      <c r="E349" s="178"/>
      <c r="F349" s="178"/>
      <c r="G349" s="178"/>
      <c r="H349" s="178"/>
    </row>
    <row r="350" spans="1:8" ht="12.75">
      <c r="A350" s="178"/>
      <c r="B350" s="178"/>
      <c r="C350" s="178"/>
      <c r="D350" s="178"/>
      <c r="E350" s="178"/>
      <c r="F350" s="178"/>
      <c r="G350" s="178"/>
      <c r="H350" s="178"/>
    </row>
    <row r="351" spans="1:8" ht="12.75">
      <c r="A351" s="178"/>
      <c r="B351" s="178"/>
      <c r="C351" s="178"/>
      <c r="D351" s="178"/>
      <c r="E351" s="178"/>
      <c r="F351" s="178"/>
      <c r="G351" s="178"/>
      <c r="H351" s="178"/>
    </row>
    <row r="352" spans="1:8" ht="12.75">
      <c r="A352" s="178"/>
      <c r="B352" s="178"/>
      <c r="C352" s="178"/>
      <c r="D352" s="178"/>
      <c r="E352" s="178"/>
      <c r="F352" s="178"/>
      <c r="G352" s="178"/>
      <c r="H352" s="178"/>
    </row>
    <row r="353" spans="1:8" ht="12.75">
      <c r="A353" s="178"/>
      <c r="B353" s="178"/>
      <c r="C353" s="178"/>
      <c r="D353" s="178"/>
      <c r="E353" s="178"/>
      <c r="F353" s="178"/>
      <c r="G353" s="178"/>
      <c r="H353" s="178"/>
    </row>
    <row r="354" spans="1:8" ht="12.75">
      <c r="A354" s="178"/>
      <c r="B354" s="178"/>
      <c r="C354" s="178"/>
      <c r="D354" s="178"/>
      <c r="E354" s="178"/>
      <c r="F354" s="178"/>
      <c r="G354" s="178"/>
      <c r="H354" s="178"/>
    </row>
    <row r="355" spans="1:8" ht="12.75">
      <c r="A355" s="178"/>
      <c r="B355" s="178"/>
      <c r="C355" s="178"/>
      <c r="D355" s="178"/>
      <c r="E355" s="178"/>
      <c r="F355" s="178"/>
      <c r="G355" s="178"/>
      <c r="H355" s="178"/>
    </row>
    <row r="356" spans="1:8" ht="12.75">
      <c r="A356" s="178"/>
      <c r="B356" s="178"/>
      <c r="C356" s="178"/>
      <c r="D356" s="178"/>
      <c r="E356" s="178"/>
      <c r="F356" s="178"/>
      <c r="G356" s="178"/>
      <c r="H356" s="178"/>
    </row>
    <row r="357" spans="1:8" ht="12.75">
      <c r="A357" s="178"/>
      <c r="B357" s="178"/>
      <c r="C357" s="178"/>
      <c r="D357" s="178"/>
      <c r="E357" s="178"/>
      <c r="F357" s="178"/>
      <c r="G357" s="178"/>
      <c r="H357" s="178"/>
    </row>
    <row r="358" spans="1:8" ht="12.75">
      <c r="A358" s="178"/>
      <c r="B358" s="178"/>
      <c r="C358" s="178"/>
      <c r="D358" s="178"/>
      <c r="E358" s="178"/>
      <c r="F358" s="178"/>
      <c r="G358" s="178"/>
      <c r="H358" s="178"/>
    </row>
    <row r="359" spans="1:8" ht="12.75">
      <c r="A359" s="178"/>
      <c r="B359" s="178"/>
      <c r="C359" s="178"/>
      <c r="D359" s="178"/>
      <c r="E359" s="178"/>
      <c r="F359" s="178"/>
      <c r="G359" s="178"/>
      <c r="H359" s="178"/>
    </row>
    <row r="360" spans="1:8" ht="12.75">
      <c r="A360" s="178"/>
      <c r="B360" s="178"/>
      <c r="C360" s="178"/>
      <c r="D360" s="178"/>
      <c r="E360" s="178"/>
      <c r="F360" s="178"/>
      <c r="G360" s="178"/>
      <c r="H360" s="178"/>
    </row>
    <row r="361" spans="1:8" ht="12.75">
      <c r="A361" s="178"/>
      <c r="B361" s="178"/>
      <c r="C361" s="178"/>
      <c r="D361" s="178"/>
      <c r="E361" s="178"/>
      <c r="F361" s="178"/>
      <c r="G361" s="178"/>
      <c r="H361" s="178"/>
    </row>
    <row r="362" spans="1:8" ht="12.75">
      <c r="A362" s="178"/>
      <c r="B362" s="178"/>
      <c r="C362" s="178"/>
      <c r="D362" s="178"/>
      <c r="E362" s="178"/>
      <c r="F362" s="178"/>
      <c r="G362" s="178"/>
      <c r="H362" s="178"/>
    </row>
    <row r="363" spans="1:8" ht="12.75">
      <c r="A363" s="178"/>
      <c r="B363" s="178"/>
      <c r="C363" s="178"/>
      <c r="D363" s="178"/>
      <c r="E363" s="178"/>
      <c r="F363" s="178"/>
      <c r="G363" s="178"/>
      <c r="H363" s="178"/>
    </row>
    <row r="364" spans="1:8" ht="12.75">
      <c r="A364" s="178"/>
      <c r="B364" s="178"/>
      <c r="C364" s="178"/>
      <c r="D364" s="178"/>
      <c r="E364" s="178"/>
      <c r="F364" s="178"/>
      <c r="G364" s="178"/>
      <c r="H364" s="178"/>
    </row>
    <row r="365" spans="1:8" ht="12.75">
      <c r="A365" s="178"/>
      <c r="B365" s="178"/>
      <c r="C365" s="178"/>
      <c r="D365" s="178"/>
      <c r="E365" s="178"/>
      <c r="F365" s="178"/>
      <c r="G365" s="178"/>
      <c r="H365" s="178"/>
    </row>
    <row r="366" spans="1:8" ht="12.75">
      <c r="A366" s="178"/>
      <c r="B366" s="178"/>
      <c r="C366" s="178"/>
      <c r="D366" s="178"/>
      <c r="E366" s="178"/>
      <c r="F366" s="178"/>
      <c r="G366" s="178"/>
      <c r="H366" s="178"/>
    </row>
    <row r="367" spans="1:8" ht="12.75">
      <c r="A367" s="178"/>
      <c r="B367" s="178"/>
      <c r="C367" s="178"/>
      <c r="D367" s="178"/>
      <c r="E367" s="178"/>
      <c r="F367" s="178"/>
      <c r="G367" s="178"/>
      <c r="H367" s="178"/>
    </row>
    <row r="368" spans="1:8" ht="12.75">
      <c r="A368" s="178"/>
      <c r="B368" s="178"/>
      <c r="C368" s="178"/>
      <c r="D368" s="178"/>
      <c r="E368" s="178"/>
      <c r="F368" s="178"/>
      <c r="G368" s="178"/>
      <c r="H368" s="178"/>
    </row>
    <row r="369" spans="1:8" ht="12.75">
      <c r="A369" s="178"/>
      <c r="B369" s="178"/>
      <c r="C369" s="178"/>
      <c r="D369" s="178"/>
      <c r="E369" s="178"/>
      <c r="F369" s="178"/>
      <c r="G369" s="178"/>
      <c r="H369" s="178"/>
    </row>
    <row r="370" spans="1:8" ht="12.75">
      <c r="A370" s="178"/>
      <c r="B370" s="178"/>
      <c r="C370" s="178"/>
      <c r="D370" s="178"/>
      <c r="E370" s="178"/>
      <c r="F370" s="178"/>
      <c r="G370" s="178"/>
      <c r="H370" s="178"/>
    </row>
    <row r="371" spans="1:8" ht="12.75">
      <c r="A371" s="178"/>
      <c r="B371" s="178"/>
      <c r="C371" s="178"/>
      <c r="D371" s="178"/>
      <c r="E371" s="178"/>
      <c r="F371" s="178"/>
      <c r="G371" s="178"/>
      <c r="H371" s="178"/>
    </row>
    <row r="372" spans="1:8" ht="12.75">
      <c r="A372" s="178"/>
      <c r="B372" s="178"/>
      <c r="C372" s="178"/>
      <c r="D372" s="178"/>
      <c r="E372" s="178"/>
      <c r="F372" s="178"/>
      <c r="G372" s="178"/>
      <c r="H372" s="178"/>
    </row>
    <row r="373" spans="1:8" ht="12.75">
      <c r="A373" s="178"/>
      <c r="B373" s="178"/>
      <c r="C373" s="178"/>
      <c r="D373" s="178"/>
      <c r="E373" s="178"/>
      <c r="F373" s="178"/>
      <c r="G373" s="178"/>
      <c r="H373" s="178"/>
    </row>
    <row r="374" spans="1:8" ht="12.75">
      <c r="A374" s="178"/>
      <c r="B374" s="178"/>
      <c r="C374" s="178"/>
      <c r="D374" s="178"/>
      <c r="E374" s="178"/>
      <c r="F374" s="178"/>
      <c r="G374" s="178"/>
      <c r="H374" s="178"/>
    </row>
    <row r="375" spans="1:8" ht="12.75">
      <c r="A375" s="178"/>
      <c r="B375" s="178"/>
      <c r="C375" s="178"/>
      <c r="D375" s="178"/>
      <c r="E375" s="178"/>
      <c r="F375" s="178"/>
      <c r="G375" s="178"/>
      <c r="H375" s="178"/>
    </row>
    <row r="376" spans="1:8" ht="12.75">
      <c r="A376" s="178"/>
      <c r="B376" s="178"/>
      <c r="C376" s="178"/>
      <c r="D376" s="178"/>
      <c r="E376" s="178"/>
      <c r="F376" s="178"/>
      <c r="G376" s="178"/>
      <c r="H376" s="178"/>
    </row>
    <row r="377" spans="1:8" ht="12.75">
      <c r="A377" s="178"/>
      <c r="B377" s="178"/>
      <c r="C377" s="178"/>
      <c r="D377" s="178"/>
      <c r="E377" s="178"/>
      <c r="F377" s="178"/>
      <c r="G377" s="178"/>
      <c r="H377" s="178"/>
    </row>
    <row r="378" spans="1:8" ht="12.75">
      <c r="A378" s="178"/>
      <c r="B378" s="178"/>
      <c r="C378" s="178"/>
      <c r="D378" s="178"/>
      <c r="E378" s="178"/>
      <c r="F378" s="178"/>
      <c r="G378" s="178"/>
      <c r="H378" s="178"/>
    </row>
    <row r="379" spans="1:8" ht="12.75">
      <c r="A379" s="178"/>
      <c r="B379" s="178"/>
      <c r="C379" s="178"/>
      <c r="D379" s="178"/>
      <c r="E379" s="178"/>
      <c r="F379" s="178"/>
      <c r="G379" s="178"/>
      <c r="H379" s="178"/>
    </row>
    <row r="380" spans="1:8" ht="12.75">
      <c r="A380" s="178"/>
      <c r="B380" s="178"/>
      <c r="C380" s="178"/>
      <c r="D380" s="178"/>
      <c r="E380" s="178"/>
      <c r="F380" s="178"/>
      <c r="G380" s="178"/>
      <c r="H380" s="178"/>
    </row>
    <row r="381" spans="1:8" ht="12.75">
      <c r="A381" s="178"/>
      <c r="B381" s="178"/>
      <c r="C381" s="178"/>
      <c r="D381" s="178"/>
      <c r="E381" s="178"/>
      <c r="F381" s="178"/>
      <c r="G381" s="178"/>
      <c r="H381" s="178"/>
    </row>
    <row r="382" spans="1:8" ht="12.75">
      <c r="A382" s="178"/>
      <c r="B382" s="178"/>
      <c r="C382" s="178"/>
      <c r="D382" s="178"/>
      <c r="E382" s="178"/>
      <c r="F382" s="178"/>
      <c r="G382" s="178"/>
      <c r="H382" s="178"/>
    </row>
    <row r="383" spans="1:8" ht="12.75">
      <c r="A383" s="178"/>
      <c r="B383" s="178"/>
      <c r="C383" s="178"/>
      <c r="D383" s="178"/>
      <c r="E383" s="178"/>
      <c r="F383" s="178"/>
      <c r="G383" s="178"/>
      <c r="H383" s="178"/>
    </row>
    <row r="384" spans="1:8" ht="12.75">
      <c r="A384" s="178"/>
      <c r="B384" s="178"/>
      <c r="C384" s="178"/>
      <c r="D384" s="178"/>
      <c r="E384" s="178"/>
      <c r="F384" s="178"/>
      <c r="G384" s="178"/>
      <c r="H384" s="178"/>
    </row>
    <row r="385" spans="1:8" ht="12.75">
      <c r="A385" s="178"/>
      <c r="B385" s="178"/>
      <c r="C385" s="178"/>
      <c r="D385" s="178"/>
      <c r="E385" s="178"/>
      <c r="F385" s="178"/>
      <c r="G385" s="178"/>
      <c r="H385" s="178"/>
    </row>
    <row r="386" spans="1:8" ht="12.75">
      <c r="A386" s="178"/>
      <c r="B386" s="178"/>
      <c r="C386" s="178"/>
      <c r="D386" s="178"/>
      <c r="E386" s="178"/>
      <c r="F386" s="178"/>
      <c r="G386" s="178"/>
      <c r="H386" s="178"/>
    </row>
    <row r="387" spans="1:8" ht="12.75">
      <c r="A387" s="178"/>
      <c r="B387" s="178"/>
      <c r="C387" s="178"/>
      <c r="D387" s="178"/>
      <c r="E387" s="178"/>
      <c r="F387" s="178"/>
      <c r="G387" s="178"/>
      <c r="H387" s="178"/>
    </row>
    <row r="388" spans="1:8" ht="12.75">
      <c r="A388" s="178"/>
      <c r="B388" s="178"/>
      <c r="C388" s="178"/>
      <c r="D388" s="178"/>
      <c r="E388" s="178"/>
      <c r="F388" s="178"/>
      <c r="G388" s="178"/>
      <c r="H388" s="178"/>
    </row>
    <row r="389" spans="1:8" ht="12.75">
      <c r="A389" s="178"/>
      <c r="B389" s="178"/>
      <c r="C389" s="178"/>
      <c r="D389" s="178"/>
      <c r="E389" s="178"/>
      <c r="F389" s="178"/>
      <c r="G389" s="178"/>
      <c r="H389" s="178"/>
    </row>
    <row r="390" spans="1:8" ht="12.75">
      <c r="A390" s="178"/>
      <c r="B390" s="178"/>
      <c r="C390" s="178"/>
      <c r="D390" s="178"/>
      <c r="E390" s="178"/>
      <c r="F390" s="178"/>
      <c r="G390" s="178"/>
      <c r="H390" s="178"/>
    </row>
    <row r="391" spans="1:8" ht="12.75">
      <c r="A391" s="178"/>
      <c r="B391" s="178"/>
      <c r="C391" s="178"/>
      <c r="D391" s="178"/>
      <c r="E391" s="178"/>
      <c r="F391" s="178"/>
      <c r="G391" s="178"/>
      <c r="H391" s="178"/>
    </row>
    <row r="392" spans="1:8" ht="12.75">
      <c r="A392" s="178"/>
      <c r="B392" s="178"/>
      <c r="C392" s="178"/>
      <c r="D392" s="178"/>
      <c r="E392" s="178"/>
      <c r="F392" s="178"/>
      <c r="G392" s="178"/>
      <c r="H392" s="178"/>
    </row>
    <row r="393" spans="1:8" ht="12.75">
      <c r="A393" s="178"/>
      <c r="B393" s="178"/>
      <c r="C393" s="178"/>
      <c r="D393" s="178"/>
      <c r="E393" s="178"/>
      <c r="F393" s="178"/>
      <c r="G393" s="178"/>
      <c r="H393" s="178"/>
    </row>
    <row r="394" spans="1:8" ht="12.75">
      <c r="A394" s="178"/>
      <c r="B394" s="178"/>
      <c r="C394" s="178"/>
      <c r="D394" s="178"/>
      <c r="E394" s="178"/>
      <c r="F394" s="178"/>
      <c r="G394" s="178"/>
      <c r="H394" s="178"/>
    </row>
    <row r="395" spans="1:8" ht="12.75">
      <c r="A395" s="178"/>
      <c r="B395" s="178"/>
      <c r="C395" s="178"/>
      <c r="D395" s="178"/>
      <c r="E395" s="178"/>
      <c r="F395" s="178"/>
      <c r="G395" s="178"/>
      <c r="H395" s="178"/>
    </row>
    <row r="396" spans="1:8" ht="12.75">
      <c r="A396" s="178"/>
      <c r="B396" s="178"/>
      <c r="C396" s="178"/>
      <c r="D396" s="178"/>
      <c r="E396" s="178"/>
      <c r="F396" s="178"/>
      <c r="G396" s="178"/>
      <c r="H396" s="178"/>
    </row>
    <row r="397" spans="1:8" ht="12.75">
      <c r="A397" s="178"/>
      <c r="B397" s="178"/>
      <c r="C397" s="178"/>
      <c r="D397" s="178"/>
      <c r="E397" s="178"/>
      <c r="F397" s="178"/>
      <c r="G397" s="178"/>
      <c r="H397" s="178"/>
    </row>
    <row r="398" spans="1:8" ht="12.75">
      <c r="A398" s="178"/>
      <c r="B398" s="178"/>
      <c r="C398" s="178"/>
      <c r="D398" s="178"/>
      <c r="E398" s="178"/>
      <c r="F398" s="178"/>
      <c r="G398" s="178"/>
      <c r="H398" s="178"/>
    </row>
    <row r="399" spans="1:8" ht="12.75">
      <c r="A399" s="178"/>
      <c r="B399" s="178"/>
      <c r="C399" s="178"/>
      <c r="D399" s="178"/>
      <c r="E399" s="178"/>
      <c r="F399" s="178"/>
      <c r="G399" s="178"/>
      <c r="H399" s="178"/>
    </row>
    <row r="400" spans="1:8" ht="12.75">
      <c r="A400" s="178"/>
      <c r="B400" s="178"/>
      <c r="C400" s="178"/>
      <c r="D400" s="178"/>
      <c r="E400" s="178"/>
      <c r="F400" s="178"/>
      <c r="G400" s="178"/>
      <c r="H400" s="178"/>
    </row>
    <row r="401" spans="1:8" ht="12.75">
      <c r="A401" s="178"/>
      <c r="B401" s="178"/>
      <c r="C401" s="178"/>
      <c r="D401" s="178"/>
      <c r="E401" s="178"/>
      <c r="F401" s="178"/>
      <c r="G401" s="178"/>
      <c r="H401" s="178"/>
    </row>
    <row r="402" spans="1:8" ht="12.75">
      <c r="A402" s="178"/>
      <c r="B402" s="178"/>
      <c r="C402" s="178"/>
      <c r="D402" s="178"/>
      <c r="E402" s="178"/>
      <c r="F402" s="178"/>
      <c r="G402" s="178"/>
      <c r="H402" s="178"/>
    </row>
    <row r="403" spans="1:8" ht="12.75">
      <c r="A403" s="178"/>
      <c r="B403" s="178"/>
      <c r="C403" s="178"/>
      <c r="D403" s="178"/>
      <c r="E403" s="178"/>
      <c r="F403" s="178"/>
      <c r="G403" s="178"/>
      <c r="H403" s="178"/>
    </row>
    <row r="404" spans="1:8" ht="12.75">
      <c r="A404" s="178"/>
      <c r="B404" s="178"/>
      <c r="C404" s="178"/>
      <c r="D404" s="178"/>
      <c r="E404" s="178"/>
      <c r="F404" s="178"/>
      <c r="G404" s="178"/>
      <c r="H404" s="178"/>
    </row>
    <row r="405" spans="1:8" ht="12.75">
      <c r="A405" s="178"/>
      <c r="B405" s="178"/>
      <c r="C405" s="178"/>
      <c r="D405" s="178"/>
      <c r="E405" s="178"/>
      <c r="F405" s="178"/>
      <c r="G405" s="178"/>
      <c r="H405" s="178"/>
    </row>
    <row r="406" spans="1:8" ht="12.75">
      <c r="A406" s="178"/>
      <c r="B406" s="178"/>
      <c r="C406" s="178"/>
      <c r="D406" s="178"/>
      <c r="E406" s="178"/>
      <c r="F406" s="178"/>
      <c r="G406" s="178"/>
      <c r="H406" s="178"/>
    </row>
    <row r="407" spans="1:8" ht="12.75">
      <c r="A407" s="178"/>
      <c r="B407" s="178"/>
      <c r="C407" s="178"/>
      <c r="D407" s="178"/>
      <c r="E407" s="178"/>
      <c r="F407" s="178"/>
      <c r="G407" s="178"/>
      <c r="H407" s="178"/>
    </row>
    <row r="408" spans="1:8" ht="12.75">
      <c r="A408" s="178"/>
      <c r="B408" s="178"/>
      <c r="C408" s="178"/>
      <c r="D408" s="178"/>
      <c r="E408" s="178"/>
      <c r="F408" s="178"/>
      <c r="G408" s="178"/>
      <c r="H408" s="178"/>
    </row>
    <row r="409" spans="1:8" ht="12.75">
      <c r="A409" s="178"/>
      <c r="B409" s="178"/>
      <c r="C409" s="178"/>
      <c r="D409" s="178"/>
      <c r="E409" s="178"/>
      <c r="F409" s="178"/>
      <c r="G409" s="178"/>
      <c r="H409" s="178"/>
    </row>
    <row r="410" spans="1:8" ht="12.75">
      <c r="A410" s="178"/>
      <c r="B410" s="178"/>
      <c r="C410" s="178"/>
      <c r="D410" s="178"/>
      <c r="E410" s="178"/>
      <c r="F410" s="178"/>
      <c r="G410" s="178"/>
      <c r="H410" s="178"/>
    </row>
    <row r="411" spans="1:8" ht="12.75">
      <c r="A411" s="178"/>
      <c r="B411" s="178"/>
      <c r="C411" s="178"/>
      <c r="D411" s="178"/>
      <c r="E411" s="178"/>
      <c r="F411" s="178"/>
      <c r="G411" s="178"/>
      <c r="H411" s="178"/>
    </row>
    <row r="412" spans="1:8" ht="12.75">
      <c r="A412" s="178"/>
      <c r="B412" s="178"/>
      <c r="C412" s="178"/>
      <c r="D412" s="178"/>
      <c r="E412" s="178"/>
      <c r="F412" s="178"/>
      <c r="G412" s="178"/>
      <c r="H412" s="178"/>
    </row>
    <row r="413" spans="1:8" ht="12.75">
      <c r="A413" s="178"/>
      <c r="B413" s="178"/>
      <c r="C413" s="178"/>
      <c r="D413" s="178"/>
      <c r="E413" s="178"/>
      <c r="F413" s="178"/>
      <c r="G413" s="178"/>
      <c r="H413" s="178"/>
    </row>
    <row r="414" spans="1:8" ht="12.75">
      <c r="A414" s="178"/>
      <c r="B414" s="178"/>
      <c r="C414" s="178"/>
      <c r="D414" s="178"/>
      <c r="E414" s="178"/>
      <c r="F414" s="178"/>
      <c r="G414" s="178"/>
      <c r="H414" s="178"/>
    </row>
    <row r="415" spans="1:8" ht="12.75">
      <c r="A415" s="178"/>
      <c r="B415" s="178"/>
      <c r="C415" s="178"/>
      <c r="D415" s="178"/>
      <c r="E415" s="178"/>
      <c r="F415" s="178"/>
      <c r="G415" s="178"/>
      <c r="H415" s="178"/>
    </row>
    <row r="416" spans="1:8" ht="12.75">
      <c r="A416" s="178"/>
      <c r="B416" s="178"/>
      <c r="C416" s="178"/>
      <c r="D416" s="178"/>
      <c r="E416" s="178"/>
      <c r="F416" s="178"/>
      <c r="G416" s="178"/>
      <c r="H416" s="178"/>
    </row>
    <row r="417" spans="1:8" ht="12.75">
      <c r="A417" s="178"/>
      <c r="B417" s="178"/>
      <c r="C417" s="178"/>
      <c r="D417" s="178"/>
      <c r="E417" s="178"/>
      <c r="F417" s="178"/>
      <c r="G417" s="178"/>
      <c r="H417" s="178"/>
    </row>
    <row r="418" spans="1:8" ht="12.75">
      <c r="A418" s="178"/>
      <c r="B418" s="178"/>
      <c r="C418" s="178"/>
      <c r="D418" s="178"/>
      <c r="E418" s="178"/>
      <c r="F418" s="178"/>
      <c r="G418" s="178"/>
      <c r="H418" s="178"/>
    </row>
    <row r="419" spans="1:8" ht="12.75">
      <c r="A419" s="178"/>
      <c r="B419" s="178"/>
      <c r="C419" s="178"/>
      <c r="D419" s="178"/>
      <c r="E419" s="178"/>
      <c r="F419" s="178"/>
      <c r="G419" s="178"/>
      <c r="H419" s="178"/>
    </row>
    <row r="420" spans="1:8" ht="12.75">
      <c r="A420" s="178"/>
      <c r="B420" s="178"/>
      <c r="C420" s="178"/>
      <c r="D420" s="178"/>
      <c r="E420" s="178"/>
      <c r="F420" s="178"/>
      <c r="G420" s="178"/>
      <c r="H420" s="178"/>
    </row>
    <row r="421" spans="1:8" ht="12.75">
      <c r="A421" s="178"/>
      <c r="B421" s="178"/>
      <c r="C421" s="178"/>
      <c r="D421" s="178"/>
      <c r="E421" s="178"/>
      <c r="F421" s="178"/>
      <c r="G421" s="178"/>
      <c r="H421" s="178"/>
    </row>
    <row r="422" spans="1:8" ht="12.75">
      <c r="A422" s="178"/>
      <c r="B422" s="178"/>
      <c r="C422" s="178"/>
      <c r="D422" s="178"/>
      <c r="E422" s="178"/>
      <c r="F422" s="178"/>
      <c r="G422" s="178"/>
      <c r="H422" s="178"/>
    </row>
    <row r="423" spans="1:8" ht="12.75">
      <c r="A423" s="178"/>
      <c r="B423" s="178"/>
      <c r="C423" s="178"/>
      <c r="D423" s="178"/>
      <c r="E423" s="178"/>
      <c r="F423" s="178"/>
      <c r="G423" s="178"/>
      <c r="H423" s="178"/>
    </row>
    <row r="424" spans="1:8" ht="12.75">
      <c r="A424" s="178"/>
      <c r="B424" s="178"/>
      <c r="C424" s="178"/>
      <c r="D424" s="178"/>
      <c r="E424" s="178"/>
      <c r="F424" s="178"/>
      <c r="G424" s="178"/>
      <c r="H424" s="178"/>
    </row>
    <row r="425" spans="1:8" ht="12.75">
      <c r="A425" s="178"/>
      <c r="B425" s="178"/>
      <c r="C425" s="178"/>
      <c r="D425" s="178"/>
      <c r="E425" s="178"/>
      <c r="F425" s="178"/>
      <c r="G425" s="178"/>
      <c r="H425" s="178"/>
    </row>
    <row r="426" spans="1:8" ht="12.75">
      <c r="A426" s="178"/>
      <c r="B426" s="178"/>
      <c r="C426" s="178"/>
      <c r="D426" s="178"/>
      <c r="E426" s="178"/>
      <c r="F426" s="178"/>
      <c r="G426" s="178"/>
      <c r="H426" s="178"/>
    </row>
    <row r="427" spans="1:8" ht="12.75">
      <c r="A427" s="178"/>
      <c r="B427" s="178"/>
      <c r="C427" s="178"/>
      <c r="D427" s="178"/>
      <c r="E427" s="178"/>
      <c r="F427" s="178"/>
      <c r="G427" s="178"/>
      <c r="H427" s="178"/>
    </row>
    <row r="428" spans="1:8" ht="12.75">
      <c r="A428" s="178"/>
      <c r="B428" s="178"/>
      <c r="C428" s="178"/>
      <c r="D428" s="178"/>
      <c r="E428" s="178"/>
      <c r="F428" s="178"/>
      <c r="G428" s="178"/>
      <c r="H428" s="178"/>
    </row>
    <row r="429" spans="1:8" ht="12.75">
      <c r="A429" s="178"/>
      <c r="B429" s="178"/>
      <c r="C429" s="178"/>
      <c r="D429" s="178"/>
      <c r="E429" s="178"/>
      <c r="F429" s="178"/>
      <c r="G429" s="178"/>
      <c r="H429" s="178"/>
    </row>
    <row r="430" spans="1:8" ht="12.75">
      <c r="A430" s="178"/>
      <c r="B430" s="178"/>
      <c r="C430" s="178"/>
      <c r="D430" s="178"/>
      <c r="E430" s="178"/>
      <c r="F430" s="178"/>
      <c r="G430" s="178"/>
      <c r="H430" s="178"/>
    </row>
    <row r="431" spans="1:8" ht="12.75">
      <c r="A431" s="178"/>
      <c r="B431" s="178"/>
      <c r="C431" s="178"/>
      <c r="D431" s="178"/>
      <c r="E431" s="178"/>
      <c r="F431" s="178"/>
      <c r="G431" s="178"/>
      <c r="H431" s="178"/>
    </row>
    <row r="432" spans="1:8" ht="12.75">
      <c r="A432" s="178"/>
      <c r="B432" s="178"/>
      <c r="C432" s="178"/>
      <c r="D432" s="178"/>
      <c r="E432" s="178"/>
      <c r="F432" s="178"/>
      <c r="G432" s="178"/>
      <c r="H432" s="178"/>
    </row>
    <row r="433" spans="1:8" ht="12.75">
      <c r="A433" s="178"/>
      <c r="B433" s="178"/>
      <c r="C433" s="178"/>
      <c r="D433" s="178"/>
      <c r="E433" s="178"/>
      <c r="F433" s="178"/>
      <c r="G433" s="178"/>
      <c r="H433" s="178"/>
    </row>
    <row r="434" spans="1:8" ht="12.75">
      <c r="A434" s="178"/>
      <c r="B434" s="178"/>
      <c r="C434" s="178"/>
      <c r="D434" s="178"/>
      <c r="E434" s="178"/>
      <c r="F434" s="178"/>
      <c r="G434" s="178"/>
      <c r="H434" s="178"/>
    </row>
    <row r="435" spans="1:8" ht="12.75">
      <c r="A435" s="178"/>
      <c r="B435" s="178"/>
      <c r="C435" s="178"/>
      <c r="D435" s="178"/>
      <c r="E435" s="178"/>
      <c r="F435" s="178"/>
      <c r="G435" s="178"/>
      <c r="H435" s="178"/>
    </row>
    <row r="436" spans="1:8" ht="12.75">
      <c r="A436" s="178"/>
      <c r="B436" s="178"/>
      <c r="C436" s="178"/>
      <c r="D436" s="178"/>
      <c r="E436" s="178"/>
      <c r="F436" s="178"/>
      <c r="G436" s="178"/>
      <c r="H436" s="178"/>
    </row>
    <row r="437" spans="1:8" ht="12.75">
      <c r="A437" s="178"/>
      <c r="B437" s="178"/>
      <c r="C437" s="178"/>
      <c r="D437" s="178"/>
      <c r="E437" s="178"/>
      <c r="F437" s="178"/>
      <c r="G437" s="178"/>
      <c r="H437" s="178"/>
    </row>
    <row r="438" spans="1:8" ht="12.75">
      <c r="A438" s="178"/>
      <c r="B438" s="178"/>
      <c r="C438" s="178"/>
      <c r="D438" s="178"/>
      <c r="E438" s="178"/>
      <c r="F438" s="178"/>
      <c r="G438" s="178"/>
      <c r="H438" s="178"/>
    </row>
    <row r="439" spans="1:8" ht="12.75">
      <c r="A439" s="178"/>
      <c r="B439" s="178"/>
      <c r="C439" s="178"/>
      <c r="D439" s="178"/>
      <c r="E439" s="178"/>
      <c r="F439" s="178"/>
      <c r="G439" s="178"/>
      <c r="H439" s="178"/>
    </row>
    <row r="440" spans="1:8" ht="12.75">
      <c r="A440" s="178"/>
      <c r="B440" s="178"/>
      <c r="C440" s="178"/>
      <c r="D440" s="178"/>
      <c r="E440" s="178"/>
      <c r="F440" s="178"/>
      <c r="G440" s="178"/>
      <c r="H440" s="178"/>
    </row>
    <row r="441" spans="1:8" ht="12.75">
      <c r="A441" s="178"/>
      <c r="B441" s="178"/>
      <c r="C441" s="178"/>
      <c r="D441" s="178"/>
      <c r="E441" s="178"/>
      <c r="F441" s="178"/>
      <c r="G441" s="178"/>
      <c r="H441" s="178"/>
    </row>
    <row r="442" spans="1:8" ht="12.75">
      <c r="A442" s="178"/>
      <c r="B442" s="178"/>
      <c r="C442" s="178"/>
      <c r="D442" s="178"/>
      <c r="E442" s="178"/>
      <c r="F442" s="178"/>
      <c r="G442" s="178"/>
      <c r="H442" s="178"/>
    </row>
    <row r="443" spans="1:8" ht="12.75">
      <c r="A443" s="178"/>
      <c r="B443" s="178"/>
      <c r="C443" s="178"/>
      <c r="D443" s="178"/>
      <c r="E443" s="178"/>
      <c r="F443" s="178"/>
      <c r="G443" s="178"/>
      <c r="H443" s="178"/>
    </row>
    <row r="444" spans="1:8" ht="12.75">
      <c r="A444" s="178"/>
      <c r="B444" s="178"/>
      <c r="C444" s="178"/>
      <c r="D444" s="178"/>
      <c r="E444" s="178"/>
      <c r="F444" s="178"/>
      <c r="G444" s="178"/>
      <c r="H444" s="178"/>
    </row>
    <row r="445" spans="1:8" ht="12.75">
      <c r="A445" s="178"/>
      <c r="B445" s="178"/>
      <c r="C445" s="178"/>
      <c r="D445" s="178"/>
      <c r="E445" s="178"/>
      <c r="F445" s="178"/>
      <c r="G445" s="178"/>
      <c r="H445" s="178"/>
    </row>
    <row r="446" spans="1:8" ht="12.75">
      <c r="A446" s="178"/>
      <c r="B446" s="178"/>
      <c r="C446" s="178"/>
      <c r="D446" s="178"/>
      <c r="E446" s="178"/>
      <c r="F446" s="178"/>
      <c r="G446" s="178"/>
      <c r="H446" s="178"/>
    </row>
    <row r="447" spans="1:8" ht="12.75">
      <c r="A447" s="178"/>
      <c r="B447" s="178"/>
      <c r="C447" s="178"/>
      <c r="D447" s="178"/>
      <c r="E447" s="178"/>
      <c r="F447" s="178"/>
      <c r="G447" s="178"/>
      <c r="H447" s="178"/>
    </row>
    <row r="448" spans="1:8" ht="12.75">
      <c r="A448" s="178"/>
      <c r="B448" s="178"/>
      <c r="C448" s="178"/>
      <c r="D448" s="178"/>
      <c r="E448" s="178"/>
      <c r="F448" s="178"/>
      <c r="G448" s="178"/>
      <c r="H448" s="178"/>
    </row>
    <row r="449" spans="1:8" ht="12.75">
      <c r="A449" s="178"/>
      <c r="B449" s="178"/>
      <c r="C449" s="178"/>
      <c r="D449" s="178"/>
      <c r="E449" s="178"/>
      <c r="F449" s="178"/>
      <c r="G449" s="178"/>
      <c r="H449" s="178"/>
    </row>
    <row r="450" spans="1:8" ht="12.75">
      <c r="A450" s="178"/>
      <c r="B450" s="178"/>
      <c r="C450" s="178"/>
      <c r="D450" s="178"/>
      <c r="E450" s="178"/>
      <c r="F450" s="178"/>
      <c r="G450" s="178"/>
      <c r="H450" s="178"/>
    </row>
    <row r="451" spans="1:8" ht="12.75">
      <c r="A451" s="178"/>
      <c r="B451" s="178"/>
      <c r="C451" s="178"/>
      <c r="D451" s="178"/>
      <c r="E451" s="178"/>
      <c r="F451" s="178"/>
      <c r="G451" s="178"/>
      <c r="H451" s="178"/>
    </row>
    <row r="452" spans="1:8" ht="12.75">
      <c r="A452" s="178"/>
      <c r="B452" s="178"/>
      <c r="C452" s="178"/>
      <c r="D452" s="178"/>
      <c r="E452" s="178"/>
      <c r="F452" s="178"/>
      <c r="G452" s="178"/>
      <c r="H452" s="178"/>
    </row>
    <row r="453" spans="1:8" ht="12.75">
      <c r="A453" s="178"/>
      <c r="B453" s="178"/>
      <c r="C453" s="178"/>
      <c r="D453" s="178"/>
      <c r="E453" s="178"/>
      <c r="F453" s="178"/>
      <c r="G453" s="178"/>
      <c r="H453" s="178"/>
    </row>
    <row r="454" spans="1:8" ht="12.75">
      <c r="A454" s="178"/>
      <c r="B454" s="178"/>
      <c r="C454" s="178"/>
      <c r="D454" s="178"/>
      <c r="E454" s="178"/>
      <c r="F454" s="178"/>
      <c r="G454" s="178"/>
      <c r="H454" s="178"/>
    </row>
    <row r="455" spans="1:8" ht="12.75">
      <c r="A455" s="178"/>
      <c r="B455" s="178"/>
      <c r="C455" s="178"/>
      <c r="D455" s="178"/>
      <c r="E455" s="178"/>
      <c r="F455" s="178"/>
      <c r="G455" s="178"/>
      <c r="H455" s="178"/>
    </row>
    <row r="456" spans="1:8" ht="12.75">
      <c r="A456" s="178"/>
      <c r="B456" s="178"/>
      <c r="C456" s="178"/>
      <c r="D456" s="178"/>
      <c r="E456" s="178"/>
      <c r="F456" s="178"/>
      <c r="G456" s="178"/>
      <c r="H456" s="178"/>
    </row>
    <row r="457" spans="1:8" ht="12.75">
      <c r="A457" s="178"/>
      <c r="B457" s="178"/>
      <c r="C457" s="178"/>
      <c r="D457" s="178"/>
      <c r="E457" s="178"/>
      <c r="F457" s="178"/>
      <c r="G457" s="178"/>
      <c r="H457" s="178"/>
    </row>
    <row r="458" spans="1:8" ht="12.75">
      <c r="A458" s="178"/>
      <c r="B458" s="178"/>
      <c r="C458" s="178"/>
      <c r="D458" s="178"/>
      <c r="E458" s="178"/>
      <c r="F458" s="178"/>
      <c r="G458" s="178"/>
      <c r="H458" s="178"/>
    </row>
    <row r="459" spans="1:8" ht="12.75">
      <c r="A459" s="178"/>
      <c r="B459" s="178"/>
      <c r="C459" s="178"/>
      <c r="D459" s="178"/>
      <c r="E459" s="178"/>
      <c r="F459" s="178"/>
      <c r="G459" s="178"/>
      <c r="H459" s="178"/>
    </row>
    <row r="460" spans="1:8" ht="12.75">
      <c r="A460" s="178"/>
      <c r="B460" s="178"/>
      <c r="C460" s="178"/>
      <c r="D460" s="178"/>
      <c r="E460" s="178"/>
      <c r="F460" s="178"/>
      <c r="G460" s="178"/>
      <c r="H460" s="178"/>
    </row>
    <row r="461" spans="1:8" ht="12.75">
      <c r="A461" s="178"/>
      <c r="B461" s="178"/>
      <c r="C461" s="178"/>
      <c r="D461" s="178"/>
      <c r="E461" s="178"/>
      <c r="F461" s="178"/>
      <c r="G461" s="178"/>
      <c r="H461" s="178"/>
    </row>
    <row r="462" spans="1:8" ht="12.75">
      <c r="A462" s="178"/>
      <c r="B462" s="178"/>
      <c r="C462" s="178"/>
      <c r="D462" s="178"/>
      <c r="E462" s="178"/>
      <c r="F462" s="178"/>
      <c r="G462" s="178"/>
      <c r="H462" s="178"/>
    </row>
    <row r="463" spans="1:8" ht="12.75">
      <c r="A463" s="178"/>
      <c r="B463" s="178"/>
      <c r="C463" s="178"/>
      <c r="D463" s="178"/>
      <c r="E463" s="178"/>
      <c r="F463" s="178"/>
      <c r="G463" s="178"/>
      <c r="H463" s="178"/>
    </row>
    <row r="464" spans="1:8" ht="12.75">
      <c r="A464" s="178"/>
      <c r="B464" s="178"/>
      <c r="C464" s="178"/>
      <c r="D464" s="178"/>
      <c r="E464" s="178"/>
      <c r="F464" s="178"/>
      <c r="G464" s="178"/>
      <c r="H464" s="178"/>
    </row>
    <row r="465" spans="1:8" ht="12.75">
      <c r="A465" s="178"/>
      <c r="B465" s="178"/>
      <c r="C465" s="178"/>
      <c r="D465" s="178"/>
      <c r="E465" s="178"/>
      <c r="F465" s="178"/>
      <c r="G465" s="178"/>
      <c r="H465" s="178"/>
    </row>
    <row r="466" spans="1:8" ht="12.75">
      <c r="A466" s="178"/>
      <c r="B466" s="178"/>
      <c r="C466" s="178"/>
      <c r="D466" s="178"/>
      <c r="E466" s="178"/>
      <c r="F466" s="178"/>
      <c r="G466" s="178"/>
      <c r="H466" s="178"/>
    </row>
    <row r="467" spans="1:8" ht="12.75">
      <c r="A467" s="178"/>
      <c r="B467" s="178"/>
      <c r="C467" s="178"/>
      <c r="D467" s="178"/>
      <c r="E467" s="178"/>
      <c r="F467" s="178"/>
      <c r="G467" s="178"/>
      <c r="H467" s="178"/>
    </row>
    <row r="468" spans="1:8" ht="12.75">
      <c r="A468" s="178"/>
      <c r="B468" s="178"/>
      <c r="C468" s="178"/>
      <c r="D468" s="178"/>
      <c r="E468" s="178"/>
      <c r="F468" s="178"/>
      <c r="G468" s="178"/>
      <c r="H468" s="178"/>
    </row>
    <row r="469" spans="1:8" ht="12.75">
      <c r="A469" s="178"/>
      <c r="B469" s="178"/>
      <c r="C469" s="178"/>
      <c r="D469" s="178"/>
      <c r="E469" s="178"/>
      <c r="F469" s="178"/>
      <c r="G469" s="178"/>
      <c r="H469" s="178"/>
    </row>
    <row r="470" spans="1:8" ht="12.75">
      <c r="A470" s="178"/>
      <c r="B470" s="178"/>
      <c r="C470" s="178"/>
      <c r="D470" s="178"/>
      <c r="E470" s="178"/>
      <c r="F470" s="178"/>
      <c r="G470" s="178"/>
      <c r="H470" s="178"/>
    </row>
    <row r="471" spans="1:8" ht="12.75">
      <c r="A471" s="178"/>
      <c r="B471" s="178"/>
      <c r="C471" s="178"/>
      <c r="D471" s="178"/>
      <c r="E471" s="178"/>
      <c r="F471" s="178"/>
      <c r="G471" s="178"/>
      <c r="H471" s="178"/>
    </row>
    <row r="472" spans="1:8" ht="12.75">
      <c r="A472" s="178"/>
      <c r="B472" s="178"/>
      <c r="C472" s="178"/>
      <c r="D472" s="178"/>
      <c r="E472" s="178"/>
      <c r="F472" s="178"/>
      <c r="G472" s="178"/>
      <c r="H472" s="178"/>
    </row>
    <row r="473" spans="1:8" ht="12.75">
      <c r="A473" s="178"/>
      <c r="B473" s="178"/>
      <c r="C473" s="178"/>
      <c r="D473" s="178"/>
      <c r="E473" s="178"/>
      <c r="F473" s="178"/>
      <c r="G473" s="178"/>
      <c r="H473" s="178"/>
    </row>
    <row r="474" spans="1:8" ht="12.75">
      <c r="A474" s="178"/>
      <c r="B474" s="178"/>
      <c r="C474" s="178"/>
      <c r="D474" s="178"/>
      <c r="E474" s="178"/>
      <c r="F474" s="178"/>
      <c r="G474" s="178"/>
      <c r="H474" s="178"/>
    </row>
    <row r="475" spans="1:8" ht="12.75">
      <c r="A475" s="178"/>
      <c r="B475" s="178"/>
      <c r="C475" s="178"/>
      <c r="D475" s="178"/>
      <c r="E475" s="178"/>
      <c r="F475" s="178"/>
      <c r="G475" s="178"/>
      <c r="H475" s="178"/>
    </row>
    <row r="476" spans="1:8" ht="12.75">
      <c r="A476" s="178"/>
      <c r="B476" s="178"/>
      <c r="C476" s="178"/>
      <c r="D476" s="178"/>
      <c r="E476" s="178"/>
      <c r="F476" s="178"/>
      <c r="G476" s="178"/>
      <c r="H476" s="178"/>
    </row>
    <row r="477" spans="1:8" ht="12.75">
      <c r="A477" s="178"/>
      <c r="B477" s="178"/>
      <c r="C477" s="178"/>
      <c r="D477" s="178"/>
      <c r="E477" s="178"/>
      <c r="F477" s="178"/>
      <c r="G477" s="178"/>
      <c r="H477" s="178"/>
    </row>
    <row r="478" spans="1:8" ht="12.75">
      <c r="A478" s="178"/>
      <c r="B478" s="178"/>
      <c r="C478" s="178"/>
      <c r="D478" s="178"/>
      <c r="E478" s="178"/>
      <c r="F478" s="178"/>
      <c r="G478" s="178"/>
      <c r="H478" s="178"/>
    </row>
    <row r="479" spans="1:8" ht="12.75">
      <c r="A479" s="178"/>
      <c r="B479" s="178"/>
      <c r="C479" s="178"/>
      <c r="D479" s="178"/>
      <c r="E479" s="178"/>
      <c r="F479" s="178"/>
      <c r="G479" s="178"/>
      <c r="H479" s="178"/>
    </row>
    <row r="480" spans="1:8" ht="12.75">
      <c r="A480" s="178"/>
      <c r="B480" s="178"/>
      <c r="C480" s="178"/>
      <c r="D480" s="178"/>
      <c r="E480" s="178"/>
      <c r="F480" s="178"/>
      <c r="G480" s="178"/>
      <c r="H480" s="178"/>
    </row>
    <row r="481" spans="1:8" ht="12.75">
      <c r="A481" s="178"/>
      <c r="B481" s="178"/>
      <c r="C481" s="178"/>
      <c r="D481" s="178"/>
      <c r="E481" s="178"/>
      <c r="F481" s="178"/>
      <c r="G481" s="178"/>
      <c r="H481" s="178"/>
    </row>
    <row r="482" spans="1:8" ht="12.75">
      <c r="A482" s="178"/>
      <c r="B482" s="178"/>
      <c r="C482" s="178"/>
      <c r="D482" s="178"/>
      <c r="E482" s="178"/>
      <c r="F482" s="178"/>
      <c r="G482" s="178"/>
      <c r="H482" s="178"/>
    </row>
    <row r="483" spans="1:8" ht="12.75">
      <c r="A483" s="178"/>
      <c r="B483" s="178"/>
      <c r="C483" s="178"/>
      <c r="D483" s="178"/>
      <c r="E483" s="178"/>
      <c r="F483" s="178"/>
      <c r="G483" s="178"/>
      <c r="H483" s="178"/>
    </row>
    <row r="484" spans="1:8" ht="12.75">
      <c r="A484" s="178"/>
      <c r="B484" s="178"/>
      <c r="C484" s="178"/>
      <c r="D484" s="178"/>
      <c r="E484" s="178"/>
      <c r="F484" s="178"/>
      <c r="G484" s="178"/>
      <c r="H484" s="178"/>
    </row>
    <row r="485" spans="1:8" ht="12.75">
      <c r="A485" s="178"/>
      <c r="B485" s="178"/>
      <c r="C485" s="178"/>
      <c r="D485" s="178"/>
      <c r="E485" s="178"/>
      <c r="F485" s="178"/>
      <c r="G485" s="178"/>
      <c r="H485" s="178"/>
    </row>
    <row r="486" spans="1:8" ht="12.75">
      <c r="A486" s="178"/>
      <c r="B486" s="178"/>
      <c r="C486" s="178"/>
      <c r="D486" s="178"/>
      <c r="E486" s="178"/>
      <c r="F486" s="178"/>
      <c r="G486" s="178"/>
      <c r="H486" s="178"/>
    </row>
    <row r="487" spans="1:8" ht="12.75">
      <c r="A487" s="178"/>
      <c r="B487" s="178"/>
      <c r="C487" s="178"/>
      <c r="D487" s="178"/>
      <c r="E487" s="178"/>
      <c r="F487" s="178"/>
      <c r="G487" s="178"/>
      <c r="H487" s="178"/>
    </row>
    <row r="488" spans="1:8" ht="12.75">
      <c r="A488" s="178"/>
      <c r="B488" s="178"/>
      <c r="C488" s="178"/>
      <c r="D488" s="178"/>
      <c r="E488" s="178"/>
      <c r="F488" s="178"/>
      <c r="G488" s="178"/>
      <c r="H488" s="178"/>
    </row>
    <row r="489" spans="1:8" ht="12.75">
      <c r="A489" s="178"/>
      <c r="B489" s="178"/>
      <c r="C489" s="178"/>
      <c r="D489" s="178"/>
      <c r="E489" s="178"/>
      <c r="F489" s="178"/>
      <c r="G489" s="178"/>
      <c r="H489" s="178"/>
    </row>
    <row r="490" spans="1:8" ht="12.75">
      <c r="A490" s="178"/>
      <c r="B490" s="178"/>
      <c r="C490" s="178"/>
      <c r="D490" s="178"/>
      <c r="E490" s="178"/>
      <c r="F490" s="178"/>
      <c r="G490" s="178"/>
      <c r="H490" s="178"/>
    </row>
    <row r="491" spans="1:8" ht="12.75">
      <c r="A491" s="178"/>
      <c r="B491" s="178"/>
      <c r="C491" s="178"/>
      <c r="D491" s="178"/>
      <c r="E491" s="178"/>
      <c r="F491" s="178"/>
      <c r="G491" s="178"/>
      <c r="H491" s="178"/>
    </row>
    <row r="492" spans="1:8" ht="12.75">
      <c r="A492" s="178"/>
      <c r="B492" s="178"/>
      <c r="C492" s="178"/>
      <c r="D492" s="178"/>
      <c r="E492" s="178"/>
      <c r="F492" s="178"/>
      <c r="G492" s="178"/>
      <c r="H492" s="178"/>
    </row>
    <row r="493" spans="1:8" ht="12.75">
      <c r="A493" s="178"/>
      <c r="B493" s="178"/>
      <c r="C493" s="178"/>
      <c r="D493" s="178"/>
      <c r="E493" s="178"/>
      <c r="F493" s="178"/>
      <c r="G493" s="178"/>
      <c r="H493" s="178"/>
    </row>
    <row r="494" spans="1:8" ht="12.75">
      <c r="A494" s="178"/>
      <c r="B494" s="178"/>
      <c r="C494" s="178"/>
      <c r="D494" s="178"/>
      <c r="E494" s="178"/>
      <c r="F494" s="178"/>
      <c r="G494" s="178"/>
      <c r="H494" s="178"/>
    </row>
    <row r="495" spans="1:8" ht="12.75">
      <c r="A495" s="178"/>
      <c r="B495" s="178"/>
      <c r="C495" s="178"/>
      <c r="D495" s="178"/>
      <c r="E495" s="178"/>
      <c r="F495" s="178"/>
      <c r="G495" s="178"/>
      <c r="H495" s="178"/>
    </row>
    <row r="496" spans="1:8" ht="12.75">
      <c r="A496" s="178"/>
      <c r="B496" s="178"/>
      <c r="C496" s="178"/>
      <c r="D496" s="178"/>
      <c r="E496" s="178"/>
      <c r="F496" s="178"/>
      <c r="G496" s="178"/>
      <c r="H496" s="178"/>
    </row>
    <row r="497" spans="1:8" ht="12.75">
      <c r="A497" s="178"/>
      <c r="B497" s="178"/>
      <c r="C497" s="178"/>
      <c r="D497" s="178"/>
      <c r="E497" s="178"/>
      <c r="F497" s="178"/>
      <c r="G497" s="178"/>
      <c r="H497" s="178"/>
    </row>
    <row r="498" spans="1:8" ht="12.75">
      <c r="A498" s="178"/>
      <c r="B498" s="178"/>
      <c r="C498" s="178"/>
      <c r="D498" s="178"/>
      <c r="E498" s="178"/>
      <c r="F498" s="178"/>
      <c r="G498" s="178"/>
      <c r="H498" s="178"/>
    </row>
    <row r="499" spans="1:8" ht="12.75">
      <c r="A499" s="178"/>
      <c r="B499" s="178"/>
      <c r="C499" s="178"/>
      <c r="D499" s="178"/>
      <c r="E499" s="178"/>
      <c r="F499" s="178"/>
      <c r="G499" s="178"/>
      <c r="H499" s="178"/>
    </row>
    <row r="500" spans="1:8" ht="12.75">
      <c r="A500" s="178"/>
      <c r="B500" s="178"/>
      <c r="C500" s="178"/>
      <c r="D500" s="178"/>
      <c r="E500" s="178"/>
      <c r="F500" s="178"/>
      <c r="G500" s="178"/>
      <c r="H500" s="178"/>
    </row>
    <row r="501" spans="1:8" ht="12.75">
      <c r="A501" s="178"/>
      <c r="B501" s="178"/>
      <c r="C501" s="178"/>
      <c r="D501" s="178"/>
      <c r="E501" s="178"/>
      <c r="F501" s="178"/>
      <c r="G501" s="178"/>
      <c r="H501" s="178"/>
    </row>
    <row r="502" spans="1:8" ht="12.75">
      <c r="A502" s="178"/>
      <c r="B502" s="178"/>
      <c r="C502" s="178"/>
      <c r="D502" s="178"/>
      <c r="E502" s="178"/>
      <c r="F502" s="178"/>
      <c r="G502" s="178"/>
      <c r="H502" s="178"/>
    </row>
    <row r="503" spans="1:8" ht="12.75">
      <c r="A503" s="178"/>
      <c r="B503" s="178"/>
      <c r="C503" s="178"/>
      <c r="D503" s="178"/>
      <c r="E503" s="178"/>
      <c r="F503" s="178"/>
      <c r="G503" s="178"/>
      <c r="H503" s="178"/>
    </row>
    <row r="504" spans="1:8" ht="12.75">
      <c r="A504" s="178"/>
      <c r="B504" s="178"/>
      <c r="C504" s="178"/>
      <c r="D504" s="178"/>
      <c r="E504" s="178"/>
      <c r="F504" s="178"/>
      <c r="G504" s="178"/>
      <c r="H504" s="178"/>
    </row>
    <row r="505" spans="1:8" ht="12.75">
      <c r="A505" s="178"/>
      <c r="B505" s="178"/>
      <c r="C505" s="178"/>
      <c r="D505" s="178"/>
      <c r="E505" s="178"/>
      <c r="F505" s="178"/>
      <c r="G505" s="178"/>
      <c r="H505" s="178"/>
    </row>
    <row r="506" spans="1:8" ht="12.75">
      <c r="A506" s="178"/>
      <c r="B506" s="178"/>
      <c r="C506" s="178"/>
      <c r="D506" s="178"/>
      <c r="E506" s="178"/>
      <c r="F506" s="178"/>
      <c r="G506" s="178"/>
      <c r="H506" s="178"/>
    </row>
    <row r="507" spans="1:8" ht="12.75">
      <c r="A507" s="178"/>
      <c r="B507" s="178"/>
      <c r="C507" s="178"/>
      <c r="D507" s="178"/>
      <c r="E507" s="178"/>
      <c r="F507" s="178"/>
      <c r="G507" s="178"/>
      <c r="H507" s="178"/>
    </row>
    <row r="508" spans="1:8" ht="12.75">
      <c r="A508" s="178"/>
      <c r="B508" s="178"/>
      <c r="C508" s="178"/>
      <c r="D508" s="178"/>
      <c r="E508" s="178"/>
      <c r="F508" s="178"/>
      <c r="G508" s="178"/>
      <c r="H508" s="178"/>
    </row>
    <row r="509" spans="1:8" ht="12.75">
      <c r="A509" s="178"/>
      <c r="B509" s="178"/>
      <c r="C509" s="178"/>
      <c r="D509" s="178"/>
      <c r="E509" s="178"/>
      <c r="F509" s="178"/>
      <c r="G509" s="178"/>
      <c r="H509" s="178"/>
    </row>
    <row r="510" spans="1:8" ht="12.75">
      <c r="A510" s="178"/>
      <c r="B510" s="178"/>
      <c r="C510" s="178"/>
      <c r="D510" s="178"/>
      <c r="E510" s="178"/>
      <c r="F510" s="178"/>
      <c r="G510" s="178"/>
      <c r="H510" s="178"/>
    </row>
    <row r="511" spans="1:8" ht="12.75">
      <c r="A511" s="178"/>
      <c r="B511" s="178"/>
      <c r="C511" s="178"/>
      <c r="D511" s="178"/>
      <c r="E511" s="178"/>
      <c r="F511" s="178"/>
      <c r="G511" s="178"/>
      <c r="H511" s="178"/>
    </row>
    <row r="512" spans="1:8" ht="12.75">
      <c r="A512" s="178"/>
      <c r="B512" s="178"/>
      <c r="C512" s="178"/>
      <c r="D512" s="178"/>
      <c r="E512" s="178"/>
      <c r="F512" s="178"/>
      <c r="G512" s="178"/>
      <c r="H512" s="178"/>
    </row>
    <row r="513" spans="1:8" ht="12.75">
      <c r="A513" s="178"/>
      <c r="B513" s="178"/>
      <c r="C513" s="178"/>
      <c r="D513" s="178"/>
      <c r="E513" s="178"/>
      <c r="F513" s="178"/>
      <c r="G513" s="178"/>
      <c r="H513" s="178"/>
    </row>
    <row r="514" spans="1:8" ht="12.75">
      <c r="A514" s="178"/>
      <c r="B514" s="178"/>
      <c r="C514" s="178"/>
      <c r="D514" s="178"/>
      <c r="E514" s="178"/>
      <c r="F514" s="178"/>
      <c r="G514" s="178"/>
      <c r="H514" s="178"/>
    </row>
    <row r="515" spans="1:8" ht="12.75">
      <c r="A515" s="178"/>
      <c r="B515" s="178"/>
      <c r="C515" s="178"/>
      <c r="D515" s="178"/>
      <c r="E515" s="178"/>
      <c r="F515" s="178"/>
      <c r="G515" s="178"/>
      <c r="H515" s="178"/>
    </row>
    <row r="516" spans="1:8" ht="12.75">
      <c r="A516" s="178"/>
      <c r="B516" s="178"/>
      <c r="C516" s="178"/>
      <c r="D516" s="178"/>
      <c r="E516" s="178"/>
      <c r="F516" s="178"/>
      <c r="G516" s="178"/>
      <c r="H516" s="178"/>
    </row>
    <row r="517" spans="1:8" ht="12.75">
      <c r="A517" s="178"/>
      <c r="B517" s="178"/>
      <c r="C517" s="178"/>
      <c r="D517" s="178"/>
      <c r="E517" s="178"/>
      <c r="F517" s="178"/>
      <c r="G517" s="178"/>
      <c r="H517" s="178"/>
    </row>
    <row r="518" spans="1:8" ht="12.75">
      <c r="A518" s="178"/>
      <c r="B518" s="178"/>
      <c r="C518" s="178"/>
      <c r="D518" s="178"/>
      <c r="E518" s="178"/>
      <c r="F518" s="178"/>
      <c r="G518" s="178"/>
      <c r="H518" s="178"/>
    </row>
    <row r="519" spans="1:8" ht="12.75">
      <c r="A519" s="178"/>
      <c r="B519" s="178"/>
      <c r="C519" s="178"/>
      <c r="D519" s="178"/>
      <c r="E519" s="178"/>
      <c r="F519" s="178"/>
      <c r="G519" s="178"/>
      <c r="H519" s="178"/>
    </row>
    <row r="520" spans="1:8" ht="12.75">
      <c r="A520" s="178"/>
      <c r="B520" s="178"/>
      <c r="C520" s="178"/>
      <c r="D520" s="178"/>
      <c r="E520" s="178"/>
      <c r="F520" s="178"/>
      <c r="G520" s="178"/>
      <c r="H520" s="178"/>
    </row>
    <row r="521" spans="1:8" ht="12.75">
      <c r="A521" s="178"/>
      <c r="B521" s="178"/>
      <c r="C521" s="178"/>
      <c r="D521" s="178"/>
      <c r="E521" s="178"/>
      <c r="F521" s="178"/>
      <c r="G521" s="178"/>
      <c r="H521" s="178"/>
    </row>
    <row r="522" spans="1:8" ht="12.75">
      <c r="A522" s="178"/>
      <c r="B522" s="178"/>
      <c r="C522" s="178"/>
      <c r="D522" s="178"/>
      <c r="E522" s="178"/>
      <c r="F522" s="178"/>
      <c r="G522" s="178"/>
      <c r="H522" s="178"/>
    </row>
    <row r="523" spans="1:8" ht="12.75">
      <c r="A523" s="178"/>
      <c r="B523" s="178"/>
      <c r="C523" s="178"/>
      <c r="D523" s="178"/>
      <c r="E523" s="178"/>
      <c r="F523" s="178"/>
      <c r="G523" s="178"/>
      <c r="H523" s="178"/>
    </row>
    <row r="524" spans="1:8" ht="12.75">
      <c r="A524" s="178"/>
      <c r="B524" s="178"/>
      <c r="C524" s="178"/>
      <c r="D524" s="178"/>
      <c r="E524" s="178"/>
      <c r="F524" s="178"/>
      <c r="G524" s="178"/>
      <c r="H524" s="178"/>
    </row>
    <row r="525" spans="1:8" ht="12.75">
      <c r="A525" s="178"/>
      <c r="B525" s="178"/>
      <c r="C525" s="178"/>
      <c r="D525" s="178"/>
      <c r="E525" s="178"/>
      <c r="F525" s="178"/>
      <c r="G525" s="178"/>
      <c r="H525" s="178"/>
    </row>
    <row r="526" spans="1:8" ht="12.75">
      <c r="A526" s="178"/>
      <c r="B526" s="178"/>
      <c r="C526" s="178"/>
      <c r="D526" s="178"/>
      <c r="E526" s="178"/>
      <c r="F526" s="178"/>
      <c r="G526" s="178"/>
      <c r="H526" s="178"/>
    </row>
    <row r="527" spans="1:8" ht="12.75">
      <c r="A527" s="178"/>
      <c r="B527" s="178"/>
      <c r="C527" s="178"/>
      <c r="D527" s="178"/>
      <c r="E527" s="178"/>
      <c r="F527" s="178"/>
      <c r="G527" s="178"/>
      <c r="H527" s="178"/>
    </row>
    <row r="528" spans="1:8" ht="12.75">
      <c r="A528" s="178"/>
      <c r="B528" s="178"/>
      <c r="C528" s="178"/>
      <c r="D528" s="178"/>
      <c r="E528" s="178"/>
      <c r="F528" s="178"/>
      <c r="G528" s="178"/>
      <c r="H528" s="178"/>
    </row>
    <row r="529" spans="1:8" ht="12.75">
      <c r="A529" s="178"/>
      <c r="B529" s="178"/>
      <c r="C529" s="178"/>
      <c r="D529" s="178"/>
      <c r="E529" s="178"/>
      <c r="F529" s="178"/>
      <c r="G529" s="178"/>
      <c r="H529" s="178"/>
    </row>
    <row r="530" spans="1:8" ht="12.75">
      <c r="A530" s="178"/>
      <c r="B530" s="178"/>
      <c r="C530" s="178"/>
      <c r="D530" s="178"/>
      <c r="E530" s="178"/>
      <c r="F530" s="178"/>
      <c r="G530" s="178"/>
      <c r="H530" s="178"/>
    </row>
    <row r="531" spans="1:8" ht="12.75">
      <c r="A531" s="178"/>
      <c r="B531" s="178"/>
      <c r="C531" s="178"/>
      <c r="D531" s="178"/>
      <c r="E531" s="178"/>
      <c r="F531" s="178"/>
      <c r="G531" s="178"/>
      <c r="H531" s="178"/>
    </row>
    <row r="532" spans="1:8" ht="12.75">
      <c r="A532" s="178"/>
      <c r="B532" s="178"/>
      <c r="C532" s="178"/>
      <c r="D532" s="178"/>
      <c r="E532" s="178"/>
      <c r="F532" s="178"/>
      <c r="G532" s="178"/>
      <c r="H532" s="178"/>
    </row>
    <row r="533" spans="1:8" ht="12.75">
      <c r="A533" s="178"/>
      <c r="B533" s="178"/>
      <c r="C533" s="178"/>
      <c r="D533" s="178"/>
      <c r="E533" s="178"/>
      <c r="F533" s="178"/>
      <c r="G533" s="178"/>
      <c r="H533" s="178"/>
    </row>
    <row r="534" spans="1:8" ht="12.75">
      <c r="A534" s="178"/>
      <c r="B534" s="178"/>
      <c r="C534" s="178"/>
      <c r="D534" s="178"/>
      <c r="E534" s="178"/>
      <c r="F534" s="178"/>
      <c r="G534" s="178"/>
      <c r="H534" s="178"/>
    </row>
    <row r="535" spans="1:8" ht="12.75">
      <c r="A535" s="178"/>
      <c r="B535" s="178"/>
      <c r="C535" s="178"/>
      <c r="D535" s="178"/>
      <c r="E535" s="178"/>
      <c r="F535" s="178"/>
      <c r="G535" s="178"/>
      <c r="H535" s="178"/>
    </row>
    <row r="536" spans="1:8" ht="12.75">
      <c r="A536" s="178"/>
      <c r="B536" s="178"/>
      <c r="C536" s="178"/>
      <c r="D536" s="178"/>
      <c r="E536" s="178"/>
      <c r="F536" s="178"/>
      <c r="G536" s="178"/>
      <c r="H536" s="178"/>
    </row>
    <row r="537" spans="1:8" ht="12.75">
      <c r="A537" s="178"/>
      <c r="B537" s="178"/>
      <c r="C537" s="178"/>
      <c r="D537" s="178"/>
      <c r="E537" s="178"/>
      <c r="F537" s="178"/>
      <c r="G537" s="178"/>
      <c r="H537" s="178"/>
    </row>
    <row r="538" spans="1:8" ht="12.75">
      <c r="A538" s="178"/>
      <c r="B538" s="178"/>
      <c r="C538" s="178"/>
      <c r="D538" s="178"/>
      <c r="E538" s="178"/>
      <c r="F538" s="178"/>
      <c r="G538" s="178"/>
      <c r="H538" s="178"/>
    </row>
    <row r="539" spans="1:8" ht="12.75">
      <c r="A539" s="178"/>
      <c r="B539" s="178"/>
      <c r="C539" s="178"/>
      <c r="D539" s="178"/>
      <c r="E539" s="178"/>
      <c r="F539" s="178"/>
      <c r="G539" s="178"/>
      <c r="H539" s="178"/>
    </row>
    <row r="540" spans="1:8" ht="12.75">
      <c r="A540" s="178"/>
      <c r="B540" s="178"/>
      <c r="C540" s="178"/>
      <c r="D540" s="178"/>
      <c r="E540" s="178"/>
      <c r="F540" s="178"/>
      <c r="G540" s="178"/>
      <c r="H540" s="178"/>
    </row>
    <row r="541" spans="1:8" ht="12.75">
      <c r="A541" s="178"/>
      <c r="B541" s="178"/>
      <c r="C541" s="178"/>
      <c r="D541" s="178"/>
      <c r="E541" s="178"/>
      <c r="F541" s="178"/>
      <c r="G541" s="178"/>
      <c r="H541" s="178"/>
    </row>
    <row r="542" spans="1:8" ht="12.75">
      <c r="A542" s="178"/>
      <c r="B542" s="178"/>
      <c r="C542" s="178"/>
      <c r="D542" s="178"/>
      <c r="E542" s="178"/>
      <c r="F542" s="178"/>
      <c r="G542" s="178"/>
      <c r="H542" s="178"/>
    </row>
    <row r="543" spans="1:8" ht="12.75">
      <c r="A543" s="178"/>
      <c r="B543" s="178"/>
      <c r="C543" s="178"/>
      <c r="D543" s="178"/>
      <c r="E543" s="178"/>
      <c r="F543" s="178"/>
      <c r="G543" s="178"/>
      <c r="H543" s="178"/>
    </row>
    <row r="544" spans="1:8" ht="12.75">
      <c r="A544" s="178"/>
      <c r="B544" s="178"/>
      <c r="C544" s="178"/>
      <c r="D544" s="178"/>
      <c r="E544" s="178"/>
      <c r="F544" s="178"/>
      <c r="G544" s="178"/>
      <c r="H544" s="178"/>
    </row>
    <row r="545" spans="1:8" ht="12.75">
      <c r="A545" s="178"/>
      <c r="B545" s="178"/>
      <c r="C545" s="178"/>
      <c r="D545" s="178"/>
      <c r="E545" s="178"/>
      <c r="F545" s="178"/>
      <c r="G545" s="178"/>
      <c r="H545" s="178"/>
    </row>
    <row r="546" spans="1:8" ht="12.75">
      <c r="A546" s="178"/>
      <c r="B546" s="178"/>
      <c r="C546" s="178"/>
      <c r="D546" s="178"/>
      <c r="E546" s="178"/>
      <c r="F546" s="178"/>
      <c r="G546" s="178"/>
      <c r="H546" s="178"/>
    </row>
    <row r="547" spans="1:8" ht="12.75">
      <c r="A547" s="178"/>
      <c r="B547" s="178"/>
      <c r="C547" s="178"/>
      <c r="D547" s="178"/>
      <c r="E547" s="178"/>
      <c r="F547" s="178"/>
      <c r="G547" s="178"/>
      <c r="H547" s="178"/>
    </row>
    <row r="548" spans="1:8" ht="12.75">
      <c r="A548" s="178"/>
      <c r="B548" s="178"/>
      <c r="C548" s="178"/>
      <c r="D548" s="178"/>
      <c r="E548" s="178"/>
      <c r="F548" s="178"/>
      <c r="G548" s="178"/>
      <c r="H548" s="178"/>
    </row>
    <row r="549" spans="1:8" ht="12.75">
      <c r="A549" s="178"/>
      <c r="B549" s="178"/>
      <c r="C549" s="178"/>
      <c r="D549" s="178"/>
      <c r="E549" s="178"/>
      <c r="F549" s="178"/>
      <c r="G549" s="178"/>
      <c r="H549" s="178"/>
    </row>
    <row r="550" spans="1:8" ht="12.75">
      <c r="A550" s="178"/>
      <c r="B550" s="178"/>
      <c r="C550" s="178"/>
      <c r="D550" s="178"/>
      <c r="E550" s="178"/>
      <c r="F550" s="178"/>
      <c r="G550" s="178"/>
      <c r="H550" s="178"/>
    </row>
    <row r="551" spans="1:8" ht="12.75">
      <c r="A551" s="178"/>
      <c r="B551" s="178"/>
      <c r="C551" s="178"/>
      <c r="D551" s="178"/>
      <c r="E551" s="178"/>
      <c r="F551" s="178"/>
      <c r="G551" s="178"/>
      <c r="H551" s="178"/>
    </row>
    <row r="552" spans="1:8" ht="12.75">
      <c r="A552" s="178"/>
      <c r="B552" s="178"/>
      <c r="C552" s="178"/>
      <c r="D552" s="178"/>
      <c r="E552" s="178"/>
      <c r="F552" s="178"/>
      <c r="G552" s="178"/>
      <c r="H552" s="178"/>
    </row>
    <row r="553" spans="1:8" ht="12.75">
      <c r="A553" s="178"/>
      <c r="B553" s="178"/>
      <c r="C553" s="178"/>
      <c r="D553" s="178"/>
      <c r="E553" s="178"/>
      <c r="F553" s="178"/>
      <c r="G553" s="178"/>
      <c r="H553" s="178"/>
    </row>
    <row r="554" spans="1:8" ht="12.75">
      <c r="A554" s="178"/>
      <c r="B554" s="178"/>
      <c r="C554" s="178"/>
      <c r="D554" s="178"/>
      <c r="E554" s="178"/>
      <c r="F554" s="178"/>
      <c r="G554" s="178"/>
      <c r="H554" s="178"/>
    </row>
    <row r="555" spans="1:8" ht="12.75">
      <c r="A555" s="178"/>
      <c r="B555" s="178"/>
      <c r="C555" s="178"/>
      <c r="D555" s="178"/>
      <c r="E555" s="178"/>
      <c r="F555" s="178"/>
      <c r="G555" s="178"/>
      <c r="H555" s="178"/>
    </row>
    <row r="556" spans="1:8" ht="12.75">
      <c r="A556" s="178"/>
      <c r="B556" s="178"/>
      <c r="C556" s="178"/>
      <c r="D556" s="178"/>
      <c r="E556" s="178"/>
      <c r="F556" s="178"/>
      <c r="G556" s="178"/>
      <c r="H556" s="178"/>
    </row>
    <row r="557" spans="1:8" ht="12.75">
      <c r="A557" s="178"/>
      <c r="B557" s="178"/>
      <c r="C557" s="178"/>
      <c r="D557" s="178"/>
      <c r="E557" s="178"/>
      <c r="F557" s="178"/>
      <c r="G557" s="178"/>
      <c r="H557" s="178"/>
    </row>
    <row r="558" spans="1:8" ht="12.75">
      <c r="A558" s="178"/>
      <c r="B558" s="178"/>
      <c r="C558" s="178"/>
      <c r="D558" s="178"/>
      <c r="E558" s="178"/>
      <c r="F558" s="178"/>
      <c r="G558" s="178"/>
      <c r="H558" s="178"/>
    </row>
    <row r="559" spans="1:8" ht="12.75">
      <c r="A559" s="178"/>
      <c r="B559" s="178"/>
      <c r="C559" s="178"/>
      <c r="D559" s="178"/>
      <c r="E559" s="178"/>
      <c r="F559" s="178"/>
      <c r="G559" s="178"/>
      <c r="H559" s="178"/>
    </row>
    <row r="560" spans="1:8" ht="12.75">
      <c r="A560" s="178"/>
      <c r="B560" s="178"/>
      <c r="C560" s="178"/>
      <c r="D560" s="178"/>
      <c r="E560" s="178"/>
      <c r="F560" s="178"/>
      <c r="G560" s="178"/>
      <c r="H560" s="178"/>
    </row>
    <row r="561" spans="1:8" ht="12.75">
      <c r="A561" s="178"/>
      <c r="B561" s="178"/>
      <c r="C561" s="178"/>
      <c r="D561" s="178"/>
      <c r="E561" s="178"/>
      <c r="F561" s="178"/>
      <c r="G561" s="178"/>
      <c r="H561" s="178"/>
    </row>
    <row r="562" spans="1:8" ht="12.75">
      <c r="A562" s="178"/>
      <c r="B562" s="178"/>
      <c r="C562" s="178"/>
      <c r="D562" s="178"/>
      <c r="E562" s="178"/>
      <c r="F562" s="178"/>
      <c r="G562" s="178"/>
      <c r="H562" s="178"/>
    </row>
    <row r="563" spans="1:8" ht="12.75">
      <c r="A563" s="178"/>
      <c r="B563" s="178"/>
      <c r="C563" s="178"/>
      <c r="D563" s="178"/>
      <c r="E563" s="178"/>
      <c r="F563" s="178"/>
      <c r="G563" s="178"/>
      <c r="H563" s="178"/>
    </row>
    <row r="564" spans="1:8" ht="12.75">
      <c r="A564" s="178"/>
      <c r="B564" s="178"/>
      <c r="C564" s="178"/>
      <c r="D564" s="178"/>
      <c r="E564" s="178"/>
      <c r="F564" s="178"/>
      <c r="G564" s="178"/>
      <c r="H564" s="178"/>
    </row>
    <row r="565" spans="1:8" ht="12.75">
      <c r="A565" s="178"/>
      <c r="B565" s="178"/>
      <c r="C565" s="178"/>
      <c r="D565" s="178"/>
      <c r="E565" s="178"/>
      <c r="F565" s="178"/>
      <c r="G565" s="178"/>
      <c r="H565" s="178"/>
    </row>
    <row r="566" spans="1:8" ht="12.75">
      <c r="A566" s="178"/>
      <c r="B566" s="178"/>
      <c r="C566" s="178"/>
      <c r="D566" s="178"/>
      <c r="E566" s="178"/>
      <c r="F566" s="178"/>
      <c r="G566" s="178"/>
      <c r="H566" s="178"/>
    </row>
    <row r="567" spans="1:8" ht="12.75">
      <c r="A567" s="178"/>
      <c r="B567" s="178"/>
      <c r="C567" s="178"/>
      <c r="D567" s="178"/>
      <c r="E567" s="178"/>
      <c r="F567" s="178"/>
      <c r="G567" s="178"/>
      <c r="H567" s="178"/>
    </row>
    <row r="568" spans="1:8" ht="12.75">
      <c r="A568" s="178"/>
      <c r="B568" s="178"/>
      <c r="C568" s="178"/>
      <c r="D568" s="178"/>
      <c r="E568" s="178"/>
      <c r="F568" s="178"/>
      <c r="G568" s="178"/>
      <c r="H568" s="178"/>
    </row>
    <row r="569" spans="1:8" ht="12.75">
      <c r="A569" s="178"/>
      <c r="B569" s="178"/>
      <c r="C569" s="178"/>
      <c r="D569" s="178"/>
      <c r="E569" s="178"/>
      <c r="F569" s="178"/>
      <c r="G569" s="178"/>
      <c r="H569" s="178"/>
    </row>
    <row r="570" spans="1:8" ht="12.75">
      <c r="A570" s="178"/>
      <c r="B570" s="178"/>
      <c r="C570" s="178"/>
      <c r="D570" s="178"/>
      <c r="E570" s="178"/>
      <c r="F570" s="178"/>
      <c r="G570" s="178"/>
      <c r="H570" s="178"/>
    </row>
    <row r="571" spans="1:8" ht="12.75">
      <c r="A571" s="178"/>
      <c r="B571" s="178"/>
      <c r="C571" s="178"/>
      <c r="D571" s="178"/>
      <c r="E571" s="178"/>
      <c r="F571" s="178"/>
      <c r="G571" s="178"/>
      <c r="H571" s="178"/>
    </row>
    <row r="572" spans="1:8" ht="12.75">
      <c r="A572" s="178"/>
      <c r="B572" s="178"/>
      <c r="C572" s="178"/>
      <c r="D572" s="178"/>
      <c r="E572" s="178"/>
      <c r="F572" s="178"/>
      <c r="G572" s="178"/>
      <c r="H572" s="178"/>
    </row>
    <row r="573" spans="1:8" ht="12.75">
      <c r="A573" s="178"/>
      <c r="B573" s="178"/>
      <c r="C573" s="178"/>
      <c r="D573" s="178"/>
      <c r="E573" s="178"/>
      <c r="F573" s="178"/>
      <c r="G573" s="178"/>
      <c r="H573" s="178"/>
    </row>
    <row r="574" spans="1:8" ht="12.75">
      <c r="A574" s="178"/>
      <c r="B574" s="178"/>
      <c r="C574" s="178"/>
      <c r="D574" s="178"/>
      <c r="E574" s="178"/>
      <c r="F574" s="178"/>
      <c r="G574" s="178"/>
      <c r="H574" s="178"/>
    </row>
    <row r="575" spans="1:8" ht="12.75">
      <c r="A575" s="178"/>
      <c r="B575" s="178"/>
      <c r="C575" s="178"/>
      <c r="D575" s="178"/>
      <c r="E575" s="178"/>
      <c r="F575" s="178"/>
      <c r="G575" s="178"/>
      <c r="H575" s="178"/>
    </row>
    <row r="576" spans="1:8" ht="12.75">
      <c r="A576" s="178"/>
      <c r="B576" s="178"/>
      <c r="C576" s="178"/>
      <c r="D576" s="178"/>
      <c r="E576" s="178"/>
      <c r="F576" s="178"/>
      <c r="G576" s="178"/>
      <c r="H576" s="178"/>
    </row>
    <row r="577" spans="1:8" ht="12.75">
      <c r="A577" s="178"/>
      <c r="B577" s="178"/>
      <c r="C577" s="178"/>
      <c r="D577" s="178"/>
      <c r="E577" s="178"/>
      <c r="F577" s="178"/>
      <c r="G577" s="178"/>
      <c r="H577" s="178"/>
    </row>
    <row r="578" spans="1:8" ht="12.75">
      <c r="A578" s="178"/>
      <c r="B578" s="178"/>
      <c r="C578" s="178"/>
      <c r="D578" s="178"/>
      <c r="E578" s="178"/>
      <c r="F578" s="178"/>
      <c r="G578" s="178"/>
      <c r="H578" s="178"/>
    </row>
    <row r="579" spans="1:8" ht="12.75">
      <c r="A579" s="178"/>
      <c r="B579" s="178"/>
      <c r="C579" s="178"/>
      <c r="D579" s="178"/>
      <c r="E579" s="178"/>
      <c r="F579" s="178"/>
      <c r="G579" s="178"/>
      <c r="H579" s="178"/>
    </row>
    <row r="580" spans="1:8" ht="12.75">
      <c r="A580" s="178"/>
      <c r="B580" s="178"/>
      <c r="C580" s="178"/>
      <c r="D580" s="178"/>
      <c r="E580" s="178"/>
      <c r="F580" s="178"/>
      <c r="G580" s="178"/>
      <c r="H580" s="178"/>
    </row>
    <row r="581" spans="1:8" ht="12.75">
      <c r="A581" s="178"/>
      <c r="B581" s="178"/>
      <c r="C581" s="178"/>
      <c r="D581" s="178"/>
      <c r="E581" s="178"/>
      <c r="F581" s="178"/>
      <c r="G581" s="178"/>
      <c r="H581" s="178"/>
    </row>
    <row r="582" spans="1:8" ht="12.75">
      <c r="A582" s="178"/>
      <c r="B582" s="178"/>
      <c r="C582" s="178"/>
      <c r="D582" s="178"/>
      <c r="E582" s="178"/>
      <c r="F582" s="178"/>
      <c r="G582" s="178"/>
      <c r="H582" s="178"/>
    </row>
    <row r="583" spans="1:8" ht="12.75">
      <c r="A583" s="178"/>
      <c r="B583" s="178"/>
      <c r="C583" s="178"/>
      <c r="D583" s="178"/>
      <c r="E583" s="178"/>
      <c r="F583" s="178"/>
      <c r="G583" s="178"/>
      <c r="H583" s="178"/>
    </row>
    <row r="584" spans="1:8" ht="12.75">
      <c r="A584" s="178"/>
      <c r="B584" s="178"/>
      <c r="C584" s="178"/>
      <c r="D584" s="178"/>
      <c r="E584" s="178"/>
      <c r="F584" s="178"/>
      <c r="G584" s="178"/>
      <c r="H584" s="178"/>
    </row>
    <row r="585" spans="1:8" ht="12.75">
      <c r="A585" s="178"/>
      <c r="B585" s="178"/>
      <c r="C585" s="178"/>
      <c r="D585" s="178"/>
      <c r="E585" s="178"/>
      <c r="F585" s="178"/>
      <c r="G585" s="178"/>
      <c r="H585" s="178"/>
    </row>
    <row r="586" spans="1:8" ht="12.75">
      <c r="A586" s="178"/>
      <c r="B586" s="178"/>
      <c r="C586" s="178"/>
      <c r="D586" s="178"/>
      <c r="E586" s="178"/>
      <c r="F586" s="178"/>
      <c r="G586" s="178"/>
      <c r="H586" s="178"/>
    </row>
    <row r="587" spans="1:8" ht="12.75">
      <c r="A587" s="178"/>
      <c r="B587" s="178"/>
      <c r="C587" s="178"/>
      <c r="D587" s="178"/>
      <c r="E587" s="178"/>
      <c r="F587" s="178"/>
      <c r="G587" s="178"/>
      <c r="H587" s="178"/>
    </row>
    <row r="588" spans="1:8" ht="12.75">
      <c r="A588" s="178"/>
      <c r="B588" s="178"/>
      <c r="C588" s="178"/>
      <c r="D588" s="178"/>
      <c r="E588" s="178"/>
      <c r="F588" s="178"/>
      <c r="G588" s="178"/>
      <c r="H588" s="178"/>
    </row>
    <row r="589" spans="1:8" ht="12.75">
      <c r="A589" s="178"/>
      <c r="B589" s="178"/>
      <c r="C589" s="178"/>
      <c r="D589" s="178"/>
      <c r="E589" s="178"/>
      <c r="F589" s="178"/>
      <c r="G589" s="178"/>
      <c r="H589" s="178"/>
    </row>
    <row r="590" spans="1:8" ht="12.75">
      <c r="A590" s="178"/>
      <c r="B590" s="178"/>
      <c r="C590" s="178"/>
      <c r="D590" s="178"/>
      <c r="E590" s="178"/>
      <c r="F590" s="178"/>
      <c r="G590" s="178"/>
      <c r="H590" s="178"/>
    </row>
    <row r="591" spans="1:8" ht="12.75">
      <c r="A591" s="178"/>
      <c r="B591" s="178"/>
      <c r="C591" s="178"/>
      <c r="D591" s="178"/>
      <c r="E591" s="178"/>
      <c r="F591" s="178"/>
      <c r="G591" s="178"/>
      <c r="H591" s="178"/>
    </row>
    <row r="592" spans="1:8" ht="12.75">
      <c r="A592" s="178"/>
      <c r="B592" s="178"/>
      <c r="C592" s="178"/>
      <c r="D592" s="178"/>
      <c r="E592" s="178"/>
      <c r="F592" s="178"/>
      <c r="G592" s="178"/>
      <c r="H592" s="178"/>
    </row>
    <row r="593" spans="1:8" ht="12.75">
      <c r="A593" s="178"/>
      <c r="B593" s="178"/>
      <c r="C593" s="178"/>
      <c r="D593" s="178"/>
      <c r="E593" s="178"/>
      <c r="F593" s="178"/>
      <c r="G593" s="178"/>
      <c r="H593" s="178"/>
    </row>
    <row r="594" spans="1:8" ht="12.75">
      <c r="A594" s="178"/>
      <c r="B594" s="178"/>
      <c r="C594" s="178"/>
      <c r="D594" s="178"/>
      <c r="E594" s="178"/>
      <c r="F594" s="178"/>
      <c r="G594" s="178"/>
      <c r="H594" s="178"/>
    </row>
    <row r="595" spans="1:8" ht="12.75">
      <c r="A595" s="178"/>
      <c r="B595" s="178"/>
      <c r="C595" s="178"/>
      <c r="D595" s="178"/>
      <c r="E595" s="178"/>
      <c r="F595" s="178"/>
      <c r="G595" s="178"/>
      <c r="H595" s="178"/>
    </row>
    <row r="596" spans="1:8" ht="12.75">
      <c r="A596" s="178"/>
      <c r="B596" s="178"/>
      <c r="C596" s="178"/>
      <c r="D596" s="178"/>
      <c r="E596" s="178"/>
      <c r="F596" s="178"/>
      <c r="G596" s="178"/>
      <c r="H596" s="178"/>
    </row>
    <row r="597" spans="1:8" ht="12.75">
      <c r="A597" s="178"/>
      <c r="B597" s="178"/>
      <c r="C597" s="178"/>
      <c r="D597" s="178"/>
      <c r="E597" s="178"/>
      <c r="F597" s="178"/>
      <c r="G597" s="178"/>
      <c r="H597" s="178"/>
    </row>
    <row r="598" spans="1:8" ht="12.75">
      <c r="A598" s="178"/>
      <c r="B598" s="178"/>
      <c r="C598" s="178"/>
      <c r="D598" s="178"/>
      <c r="E598" s="178"/>
      <c r="F598" s="178"/>
      <c r="G598" s="178"/>
      <c r="H598" s="178"/>
    </row>
    <row r="599" spans="1:8" ht="12.75">
      <c r="A599" s="178"/>
      <c r="B599" s="178"/>
      <c r="C599" s="178"/>
      <c r="D599" s="178"/>
      <c r="E599" s="178"/>
      <c r="F599" s="178"/>
      <c r="G599" s="178"/>
      <c r="H599" s="178"/>
    </row>
    <row r="600" spans="1:8" ht="12.75">
      <c r="A600" s="178"/>
      <c r="B600" s="178"/>
      <c r="C600" s="178"/>
      <c r="D600" s="178"/>
      <c r="E600" s="178"/>
      <c r="F600" s="178"/>
      <c r="G600" s="178"/>
      <c r="H600" s="178"/>
    </row>
    <row r="601" spans="1:8" ht="12.75">
      <c r="A601" s="178"/>
      <c r="B601" s="178"/>
      <c r="C601" s="178"/>
      <c r="D601" s="178"/>
      <c r="E601" s="178"/>
      <c r="F601" s="178"/>
      <c r="G601" s="178"/>
      <c r="H601" s="178"/>
    </row>
    <row r="602" spans="1:8" ht="12.75">
      <c r="A602" s="178"/>
      <c r="B602" s="178"/>
      <c r="C602" s="178"/>
      <c r="D602" s="178"/>
      <c r="E602" s="178"/>
      <c r="F602" s="178"/>
      <c r="G602" s="178"/>
      <c r="H602" s="178"/>
    </row>
    <row r="603" spans="1:8" ht="12.75">
      <c r="A603" s="178"/>
      <c r="B603" s="178"/>
      <c r="C603" s="178"/>
      <c r="D603" s="178"/>
      <c r="E603" s="178"/>
      <c r="F603" s="178"/>
      <c r="G603" s="178"/>
      <c r="H603" s="178"/>
    </row>
    <row r="604" spans="1:8" ht="12.75">
      <c r="A604" s="178"/>
      <c r="B604" s="178"/>
      <c r="C604" s="178"/>
      <c r="D604" s="178"/>
      <c r="E604" s="178"/>
      <c r="F604" s="178"/>
      <c r="G604" s="178"/>
      <c r="H604" s="178"/>
    </row>
    <row r="605" spans="1:8" ht="12.75">
      <c r="A605" s="178"/>
      <c r="B605" s="178"/>
      <c r="C605" s="178"/>
      <c r="D605" s="178"/>
      <c r="E605" s="178"/>
      <c r="F605" s="178"/>
      <c r="G605" s="178"/>
      <c r="H605" s="178"/>
    </row>
    <row r="606" spans="1:8" ht="12.75">
      <c r="A606" s="178"/>
      <c r="B606" s="178"/>
      <c r="C606" s="178"/>
      <c r="D606" s="178"/>
      <c r="E606" s="178"/>
      <c r="F606" s="178"/>
      <c r="G606" s="178"/>
      <c r="H606" s="178"/>
    </row>
    <row r="607" spans="1:8" ht="12.75">
      <c r="A607" s="178"/>
      <c r="B607" s="178"/>
      <c r="C607" s="178"/>
      <c r="D607" s="178"/>
      <c r="E607" s="178"/>
      <c r="F607" s="178"/>
      <c r="G607" s="178"/>
      <c r="H607" s="178"/>
    </row>
    <row r="608" spans="1:8" ht="12.75">
      <c r="A608" s="178"/>
      <c r="B608" s="178"/>
      <c r="C608" s="178"/>
      <c r="D608" s="178"/>
      <c r="E608" s="178"/>
      <c r="F608" s="178"/>
      <c r="G608" s="178"/>
      <c r="H608" s="178"/>
    </row>
    <row r="609" spans="1:8" ht="12.75">
      <c r="A609" s="178"/>
      <c r="B609" s="178"/>
      <c r="C609" s="178"/>
      <c r="D609" s="178"/>
      <c r="E609" s="178"/>
      <c r="F609" s="178"/>
      <c r="G609" s="178"/>
      <c r="H609" s="178"/>
    </row>
    <row r="610" spans="1:8" ht="12.75">
      <c r="A610" s="178"/>
      <c r="B610" s="178"/>
      <c r="C610" s="178"/>
      <c r="D610" s="178"/>
      <c r="E610" s="178"/>
      <c r="F610" s="178"/>
      <c r="G610" s="178"/>
      <c r="H610" s="178"/>
    </row>
    <row r="611" spans="1:8" ht="12.75">
      <c r="A611" s="178"/>
      <c r="B611" s="178"/>
      <c r="C611" s="178"/>
      <c r="D611" s="178"/>
      <c r="E611" s="178"/>
      <c r="F611" s="178"/>
      <c r="G611" s="178"/>
      <c r="H611" s="178"/>
    </row>
    <row r="612" spans="1:8" ht="12.75">
      <c r="A612" s="178"/>
      <c r="B612" s="178"/>
      <c r="C612" s="178"/>
      <c r="D612" s="178"/>
      <c r="E612" s="178"/>
      <c r="F612" s="178"/>
      <c r="G612" s="178"/>
      <c r="H612" s="178"/>
    </row>
    <row r="613" spans="1:8" ht="12.75">
      <c r="A613" s="178"/>
      <c r="B613" s="178"/>
      <c r="C613" s="178"/>
      <c r="D613" s="178"/>
      <c r="E613" s="178"/>
      <c r="F613" s="178"/>
      <c r="G613" s="178"/>
      <c r="H613" s="178"/>
    </row>
    <row r="614" spans="1:8" ht="12.75">
      <c r="A614" s="178"/>
      <c r="B614" s="178"/>
      <c r="C614" s="178"/>
      <c r="D614" s="178"/>
      <c r="E614" s="178"/>
      <c r="F614" s="178"/>
      <c r="G614" s="178"/>
      <c r="H614" s="178"/>
    </row>
    <row r="615" spans="1:8" ht="12.75">
      <c r="A615" s="178"/>
      <c r="B615" s="178"/>
      <c r="C615" s="178"/>
      <c r="D615" s="178"/>
      <c r="E615" s="178"/>
      <c r="F615" s="178"/>
      <c r="G615" s="178"/>
      <c r="H615" s="178"/>
    </row>
    <row r="616" spans="1:8" ht="12.75">
      <c r="A616" s="178"/>
      <c r="B616" s="178"/>
      <c r="C616" s="178"/>
      <c r="D616" s="178"/>
      <c r="E616" s="178"/>
      <c r="F616" s="178"/>
      <c r="G616" s="178"/>
      <c r="H616" s="178"/>
    </row>
    <row r="617" spans="1:8" ht="12.75">
      <c r="A617" s="178"/>
      <c r="B617" s="178"/>
      <c r="C617" s="178"/>
      <c r="D617" s="178"/>
      <c r="E617" s="178"/>
      <c r="F617" s="178"/>
      <c r="G617" s="178"/>
      <c r="H617" s="178"/>
    </row>
    <row r="618" spans="1:8" ht="12.75">
      <c r="A618" s="178"/>
      <c r="B618" s="178"/>
      <c r="C618" s="178"/>
      <c r="D618" s="178"/>
      <c r="E618" s="178"/>
      <c r="F618" s="178"/>
      <c r="G618" s="178"/>
      <c r="H618" s="178"/>
    </row>
    <row r="619" spans="1:8" ht="12.75">
      <c r="A619" s="178"/>
      <c r="B619" s="178"/>
      <c r="C619" s="178"/>
      <c r="D619" s="178"/>
      <c r="E619" s="178"/>
      <c r="F619" s="178"/>
      <c r="G619" s="178"/>
      <c r="H619" s="178"/>
    </row>
    <row r="620" spans="1:8" ht="12.75">
      <c r="A620" s="178"/>
      <c r="B620" s="178"/>
      <c r="C620" s="178"/>
      <c r="D620" s="178"/>
      <c r="E620" s="178"/>
      <c r="F620" s="178"/>
      <c r="G620" s="178"/>
      <c r="H620" s="178"/>
    </row>
    <row r="621" spans="1:8" ht="12.75">
      <c r="A621" s="178"/>
      <c r="B621" s="178"/>
      <c r="C621" s="178"/>
      <c r="D621" s="178"/>
      <c r="E621" s="178"/>
      <c r="F621" s="178"/>
      <c r="G621" s="178"/>
      <c r="H621" s="178"/>
    </row>
    <row r="622" spans="1:8" ht="12.75">
      <c r="A622" s="178"/>
      <c r="B622" s="178"/>
      <c r="C622" s="178"/>
      <c r="D622" s="178"/>
      <c r="E622" s="178"/>
      <c r="F622" s="178"/>
      <c r="G622" s="178"/>
      <c r="H622" s="178"/>
    </row>
    <row r="623" spans="1:8" ht="12.75">
      <c r="A623" s="178"/>
      <c r="B623" s="178"/>
      <c r="C623" s="178"/>
      <c r="D623" s="178"/>
      <c r="E623" s="178"/>
      <c r="F623" s="178"/>
      <c r="G623" s="178"/>
      <c r="H623" s="178"/>
    </row>
    <row r="624" spans="1:8" ht="12.75">
      <c r="A624" s="178"/>
      <c r="B624" s="178"/>
      <c r="C624" s="178"/>
      <c r="D624" s="178"/>
      <c r="E624" s="178"/>
      <c r="F624" s="178"/>
      <c r="G624" s="178"/>
      <c r="H624" s="178"/>
    </row>
    <row r="625" spans="1:8" ht="12.75">
      <c r="A625" s="178"/>
      <c r="B625" s="178"/>
      <c r="C625" s="178"/>
      <c r="D625" s="178"/>
      <c r="E625" s="178"/>
      <c r="F625" s="178"/>
      <c r="G625" s="178"/>
      <c r="H625" s="178"/>
    </row>
    <row r="626" spans="1:8" ht="12.75">
      <c r="A626" s="178"/>
      <c r="B626" s="178"/>
      <c r="C626" s="178"/>
      <c r="D626" s="178"/>
      <c r="E626" s="178"/>
      <c r="F626" s="178"/>
      <c r="G626" s="178"/>
      <c r="H626" s="178"/>
    </row>
    <row r="627" spans="1:8" ht="12.75">
      <c r="A627" s="178"/>
      <c r="B627" s="178"/>
      <c r="C627" s="178"/>
      <c r="D627" s="178"/>
      <c r="E627" s="178"/>
      <c r="F627" s="178"/>
      <c r="G627" s="178"/>
      <c r="H627" s="178"/>
    </row>
    <row r="628" spans="1:8" ht="12.75">
      <c r="A628" s="178"/>
      <c r="B628" s="178"/>
      <c r="C628" s="178"/>
      <c r="D628" s="178"/>
      <c r="E628" s="178"/>
      <c r="F628" s="178"/>
      <c r="G628" s="178"/>
      <c r="H628" s="178"/>
    </row>
    <row r="629" spans="1:8" ht="12.75">
      <c r="A629" s="178"/>
      <c r="B629" s="178"/>
      <c r="C629" s="178"/>
      <c r="D629" s="178"/>
      <c r="E629" s="178"/>
      <c r="F629" s="178"/>
      <c r="G629" s="178"/>
      <c r="H629" s="178"/>
    </row>
    <row r="630" spans="1:8" ht="12.75">
      <c r="A630" s="178"/>
      <c r="B630" s="178"/>
      <c r="C630" s="178"/>
      <c r="D630" s="178"/>
      <c r="E630" s="178"/>
      <c r="F630" s="178"/>
      <c r="G630" s="178"/>
      <c r="H630" s="178"/>
    </row>
    <row r="631" spans="1:8" ht="12.75">
      <c r="A631" s="178"/>
      <c r="B631" s="178"/>
      <c r="C631" s="178"/>
      <c r="D631" s="178"/>
      <c r="E631" s="178"/>
      <c r="F631" s="178"/>
      <c r="G631" s="178"/>
      <c r="H631" s="178"/>
    </row>
    <row r="632" spans="1:8" ht="12.75">
      <c r="A632" s="178"/>
      <c r="B632" s="178"/>
      <c r="C632" s="178"/>
      <c r="D632" s="178"/>
      <c r="E632" s="178"/>
      <c r="F632" s="178"/>
      <c r="G632" s="178"/>
      <c r="H632" s="178"/>
    </row>
    <row r="633" spans="1:8" ht="12.75">
      <c r="A633" s="178"/>
      <c r="B633" s="178"/>
      <c r="C633" s="178"/>
      <c r="D633" s="178"/>
      <c r="E633" s="178"/>
      <c r="F633" s="178"/>
      <c r="G633" s="178"/>
      <c r="H633" s="178"/>
    </row>
    <row r="634" spans="1:8" ht="12.75">
      <c r="A634" s="178"/>
      <c r="B634" s="178"/>
      <c r="C634" s="178"/>
      <c r="D634" s="178"/>
      <c r="E634" s="178"/>
      <c r="F634" s="178"/>
      <c r="G634" s="178"/>
      <c r="H634" s="178"/>
    </row>
    <row r="635" spans="1:8" ht="12.75">
      <c r="A635" s="178"/>
      <c r="B635" s="178"/>
      <c r="C635" s="178"/>
      <c r="D635" s="178"/>
      <c r="E635" s="178"/>
      <c r="F635" s="178"/>
      <c r="G635" s="178"/>
      <c r="H635" s="178"/>
    </row>
    <row r="636" spans="1:8" ht="12.75">
      <c r="A636" s="178"/>
      <c r="B636" s="178"/>
      <c r="C636" s="178"/>
      <c r="D636" s="178"/>
      <c r="E636" s="178"/>
      <c r="F636" s="178"/>
      <c r="G636" s="178"/>
      <c r="H636" s="178"/>
    </row>
    <row r="637" spans="1:8" ht="12.75">
      <c r="A637" s="178"/>
      <c r="B637" s="178"/>
      <c r="C637" s="178"/>
      <c r="D637" s="178"/>
      <c r="E637" s="178"/>
      <c r="F637" s="178"/>
      <c r="G637" s="178"/>
      <c r="H637" s="178"/>
    </row>
    <row r="638" spans="1:8" ht="12.75">
      <c r="A638" s="178"/>
      <c r="B638" s="178"/>
      <c r="C638" s="178"/>
      <c r="D638" s="178"/>
      <c r="E638" s="178"/>
      <c r="F638" s="178"/>
      <c r="G638" s="178"/>
      <c r="H638" s="178"/>
    </row>
    <row r="639" spans="1:8" ht="12.75">
      <c r="A639" s="178"/>
      <c r="B639" s="178"/>
      <c r="C639" s="178"/>
      <c r="D639" s="178"/>
      <c r="E639" s="178"/>
      <c r="F639" s="178"/>
      <c r="G639" s="178"/>
      <c r="H639" s="178"/>
    </row>
    <row r="640" spans="1:8" ht="12.75">
      <c r="A640" s="178"/>
      <c r="B640" s="178"/>
      <c r="C640" s="178"/>
      <c r="D640" s="178"/>
      <c r="E640" s="178"/>
      <c r="F640" s="178"/>
      <c r="G640" s="178"/>
      <c r="H640" s="178"/>
    </row>
    <row r="641" spans="1:8" ht="12.75">
      <c r="A641" s="178"/>
      <c r="B641" s="178"/>
      <c r="C641" s="178"/>
      <c r="D641" s="178"/>
      <c r="E641" s="178"/>
      <c r="F641" s="178"/>
      <c r="G641" s="178"/>
      <c r="H641" s="178"/>
    </row>
    <row r="642" spans="1:8" ht="12.75">
      <c r="A642" s="178"/>
      <c r="B642" s="178"/>
      <c r="C642" s="178"/>
      <c r="D642" s="178"/>
      <c r="E642" s="178"/>
      <c r="F642" s="178"/>
      <c r="G642" s="178"/>
      <c r="H642" s="178"/>
    </row>
    <row r="643" spans="1:8" ht="12.75">
      <c r="A643" s="178"/>
      <c r="B643" s="178"/>
      <c r="C643" s="178"/>
      <c r="D643" s="178"/>
      <c r="E643" s="178"/>
      <c r="F643" s="178"/>
      <c r="G643" s="178"/>
      <c r="H643" s="178"/>
    </row>
    <row r="644" spans="1:8" ht="12.75">
      <c r="A644" s="178"/>
      <c r="B644" s="178"/>
      <c r="C644" s="178"/>
      <c r="D644" s="178"/>
      <c r="E644" s="178"/>
      <c r="F644" s="178"/>
      <c r="G644" s="178"/>
      <c r="H644" s="178"/>
    </row>
    <row r="645" spans="1:8" ht="12.75">
      <c r="A645" s="178"/>
      <c r="B645" s="178"/>
      <c r="C645" s="178"/>
      <c r="D645" s="178"/>
      <c r="E645" s="178"/>
      <c r="F645" s="178"/>
      <c r="G645" s="178"/>
      <c r="H645" s="178"/>
    </row>
    <row r="646" spans="1:8" ht="12.75">
      <c r="A646" s="178"/>
      <c r="B646" s="178"/>
      <c r="C646" s="178"/>
      <c r="D646" s="178"/>
      <c r="E646" s="178"/>
      <c r="F646" s="178"/>
      <c r="G646" s="178"/>
      <c r="H646" s="178"/>
    </row>
    <row r="647" spans="1:8" ht="12.75">
      <c r="A647" s="178"/>
      <c r="B647" s="178"/>
      <c r="C647" s="178"/>
      <c r="D647" s="178"/>
      <c r="E647" s="178"/>
      <c r="F647" s="178"/>
      <c r="G647" s="178"/>
      <c r="H647" s="178"/>
    </row>
    <row r="648" spans="1:8" ht="12.75">
      <c r="A648" s="178"/>
      <c r="B648" s="178"/>
      <c r="C648" s="178"/>
      <c r="D648" s="178"/>
      <c r="E648" s="178"/>
      <c r="F648" s="178"/>
      <c r="G648" s="178"/>
      <c r="H648" s="178"/>
    </row>
    <row r="649" spans="1:8" ht="12.75">
      <c r="A649" s="178"/>
      <c r="B649" s="178"/>
      <c r="C649" s="178"/>
      <c r="D649" s="178"/>
      <c r="E649" s="178"/>
      <c r="F649" s="178"/>
      <c r="G649" s="178"/>
      <c r="H649" s="178"/>
    </row>
    <row r="650" spans="1:8" ht="12.75">
      <c r="A650" s="178"/>
      <c r="B650" s="178"/>
      <c r="C650" s="178"/>
      <c r="D650" s="178"/>
      <c r="E650" s="178"/>
      <c r="F650" s="178"/>
      <c r="G650" s="178"/>
      <c r="H650" s="178"/>
    </row>
    <row r="651" spans="1:8" ht="12.75">
      <c r="A651" s="178"/>
      <c r="B651" s="178"/>
      <c r="C651" s="178"/>
      <c r="D651" s="178"/>
      <c r="E651" s="178"/>
      <c r="F651" s="178"/>
      <c r="G651" s="178"/>
      <c r="H651" s="178"/>
    </row>
    <row r="652" spans="1:8" ht="12.75">
      <c r="A652" s="178"/>
      <c r="B652" s="178"/>
      <c r="C652" s="178"/>
      <c r="D652" s="178"/>
      <c r="E652" s="178"/>
      <c r="F652" s="178"/>
      <c r="G652" s="178"/>
      <c r="H652" s="178"/>
    </row>
    <row r="653" spans="1:8" ht="12.75">
      <c r="A653" s="178"/>
      <c r="B653" s="178"/>
      <c r="C653" s="178"/>
      <c r="D653" s="178"/>
      <c r="E653" s="178"/>
      <c r="F653" s="178"/>
      <c r="G653" s="178"/>
      <c r="H653" s="178"/>
    </row>
    <row r="654" spans="1:8" ht="12.75">
      <c r="A654" s="178"/>
      <c r="B654" s="178"/>
      <c r="C654" s="178"/>
      <c r="D654" s="178"/>
      <c r="E654" s="178"/>
      <c r="F654" s="178"/>
      <c r="G654" s="178"/>
      <c r="H654" s="178"/>
    </row>
    <row r="655" spans="1:8" ht="12.75">
      <c r="A655" s="178"/>
      <c r="B655" s="178"/>
      <c r="C655" s="178"/>
      <c r="D655" s="178"/>
      <c r="E655" s="178"/>
      <c r="F655" s="178"/>
      <c r="G655" s="178"/>
      <c r="H655" s="178"/>
    </row>
    <row r="656" spans="1:8" ht="12.75">
      <c r="A656" s="178"/>
      <c r="B656" s="178"/>
      <c r="C656" s="178"/>
      <c r="D656" s="178"/>
      <c r="E656" s="178"/>
      <c r="F656" s="178"/>
      <c r="G656" s="178"/>
      <c r="H656" s="178"/>
    </row>
    <row r="657" spans="1:8" ht="12.75">
      <c r="A657" s="178"/>
      <c r="B657" s="178"/>
      <c r="C657" s="178"/>
      <c r="D657" s="178"/>
      <c r="E657" s="178"/>
      <c r="F657" s="178"/>
      <c r="G657" s="178"/>
      <c r="H657" s="178"/>
    </row>
    <row r="658" spans="1:8" ht="12.75">
      <c r="A658" s="178"/>
      <c r="B658" s="178"/>
      <c r="C658" s="178"/>
      <c r="D658" s="178"/>
      <c r="E658" s="178"/>
      <c r="F658" s="178"/>
      <c r="G658" s="178"/>
      <c r="H658" s="178"/>
    </row>
    <row r="659" spans="1:8" ht="12.75">
      <c r="A659" s="178"/>
      <c r="B659" s="178"/>
      <c r="C659" s="178"/>
      <c r="D659" s="178"/>
      <c r="E659" s="178"/>
      <c r="F659" s="178"/>
      <c r="G659" s="178"/>
      <c r="H659" s="178"/>
    </row>
    <row r="660" spans="1:8" ht="12.75">
      <c r="A660" s="178"/>
      <c r="B660" s="178"/>
      <c r="C660" s="178"/>
      <c r="D660" s="178"/>
      <c r="E660" s="178"/>
      <c r="F660" s="178"/>
      <c r="G660" s="178"/>
      <c r="H660" s="178"/>
    </row>
    <row r="661" spans="1:8" ht="12.75">
      <c r="A661" s="178"/>
      <c r="B661" s="178"/>
      <c r="C661" s="178"/>
      <c r="D661" s="178"/>
      <c r="E661" s="178"/>
      <c r="F661" s="178"/>
      <c r="G661" s="178"/>
      <c r="H661" s="178"/>
    </row>
    <row r="662" spans="1:8" ht="12.75">
      <c r="A662" s="178"/>
      <c r="B662" s="178"/>
      <c r="C662" s="178"/>
      <c r="D662" s="178"/>
      <c r="E662" s="178"/>
      <c r="F662" s="178"/>
      <c r="G662" s="178"/>
      <c r="H662" s="178"/>
    </row>
    <row r="663" spans="1:8" ht="12.75">
      <c r="A663" s="178"/>
      <c r="B663" s="178"/>
      <c r="C663" s="178"/>
      <c r="D663" s="178"/>
      <c r="E663" s="178"/>
      <c r="F663" s="178"/>
      <c r="G663" s="178"/>
      <c r="H663" s="178"/>
    </row>
    <row r="664" spans="1:8" ht="12.75">
      <c r="A664" s="178"/>
      <c r="B664" s="178"/>
      <c r="C664" s="178"/>
      <c r="D664" s="178"/>
      <c r="E664" s="178"/>
      <c r="F664" s="178"/>
      <c r="G664" s="178"/>
      <c r="H664" s="178"/>
    </row>
    <row r="665" spans="1:8" ht="12.75">
      <c r="A665" s="178"/>
      <c r="B665" s="178"/>
      <c r="C665" s="178"/>
      <c r="D665" s="178"/>
      <c r="E665" s="178"/>
      <c r="F665" s="178"/>
      <c r="G665" s="178"/>
      <c r="H665" s="178"/>
    </row>
    <row r="666" spans="1:8" ht="12.75">
      <c r="A666" s="178"/>
      <c r="B666" s="178"/>
      <c r="C666" s="178"/>
      <c r="D666" s="178"/>
      <c r="E666" s="178"/>
      <c r="F666" s="178"/>
      <c r="G666" s="178"/>
      <c r="H666" s="178"/>
    </row>
    <row r="667" spans="1:8" ht="12.75">
      <c r="A667" s="178"/>
      <c r="B667" s="178"/>
      <c r="C667" s="178"/>
      <c r="D667" s="178"/>
      <c r="E667" s="178"/>
      <c r="F667" s="178"/>
      <c r="G667" s="178"/>
      <c r="H667" s="178"/>
    </row>
    <row r="668" spans="1:8" ht="12.75">
      <c r="A668" s="178"/>
      <c r="B668" s="178"/>
      <c r="C668" s="178"/>
      <c r="D668" s="178"/>
      <c r="E668" s="178"/>
      <c r="F668" s="178"/>
      <c r="G668" s="178"/>
      <c r="H668" s="178"/>
    </row>
    <row r="669" spans="1:8" ht="12.75">
      <c r="A669" s="178"/>
      <c r="B669" s="178"/>
      <c r="C669" s="178"/>
      <c r="D669" s="178"/>
      <c r="E669" s="178"/>
      <c r="F669" s="178"/>
      <c r="G669" s="178"/>
      <c r="H669" s="178"/>
    </row>
    <row r="670" spans="1:8" ht="12.75">
      <c r="A670" s="178"/>
      <c r="B670" s="178"/>
      <c r="C670" s="178"/>
      <c r="D670" s="178"/>
      <c r="E670" s="178"/>
      <c r="F670" s="178"/>
      <c r="G670" s="178"/>
      <c r="H670" s="178"/>
    </row>
    <row r="671" spans="1:8" ht="12.75">
      <c r="A671" s="178"/>
      <c r="B671" s="178"/>
      <c r="C671" s="178"/>
      <c r="D671" s="178"/>
      <c r="E671" s="178"/>
      <c r="F671" s="178"/>
      <c r="G671" s="178"/>
      <c r="H671" s="178"/>
    </row>
    <row r="672" spans="1:8" ht="12.75">
      <c r="A672" s="178"/>
      <c r="B672" s="178"/>
      <c r="C672" s="178"/>
      <c r="D672" s="178"/>
      <c r="E672" s="178"/>
      <c r="F672" s="178"/>
      <c r="G672" s="178"/>
      <c r="H672" s="178"/>
    </row>
    <row r="673" spans="1:8" ht="12.75">
      <c r="A673" s="178"/>
      <c r="B673" s="178"/>
      <c r="C673" s="178"/>
      <c r="D673" s="178"/>
      <c r="E673" s="178"/>
      <c r="F673" s="178"/>
      <c r="G673" s="178"/>
      <c r="H673" s="178"/>
    </row>
    <row r="674" spans="1:8" ht="12.75">
      <c r="A674" s="178"/>
      <c r="B674" s="178"/>
      <c r="C674" s="178"/>
      <c r="D674" s="178"/>
      <c r="E674" s="178"/>
      <c r="F674" s="178"/>
      <c r="G674" s="178"/>
      <c r="H674" s="178"/>
    </row>
    <row r="675" spans="1:8" ht="12.75">
      <c r="A675" s="178"/>
      <c r="B675" s="178"/>
      <c r="C675" s="178"/>
      <c r="D675" s="178"/>
      <c r="E675" s="178"/>
      <c r="F675" s="178"/>
      <c r="G675" s="178"/>
      <c r="H675" s="178"/>
    </row>
    <row r="676" spans="1:8" ht="12.75">
      <c r="A676" s="178"/>
      <c r="B676" s="178"/>
      <c r="C676" s="178"/>
      <c r="D676" s="178"/>
      <c r="E676" s="178"/>
      <c r="F676" s="178"/>
      <c r="G676" s="178"/>
      <c r="H676" s="178"/>
    </row>
    <row r="677" spans="1:8" ht="12.75">
      <c r="A677" s="178"/>
      <c r="B677" s="178"/>
      <c r="C677" s="178"/>
      <c r="D677" s="178"/>
      <c r="E677" s="178"/>
      <c r="F677" s="178"/>
      <c r="G677" s="178"/>
      <c r="H677" s="178"/>
    </row>
    <row r="678" spans="1:8" ht="12.75">
      <c r="A678" s="178"/>
      <c r="B678" s="178"/>
      <c r="C678" s="178"/>
      <c r="D678" s="178"/>
      <c r="E678" s="178"/>
      <c r="F678" s="178"/>
      <c r="G678" s="178"/>
      <c r="H678" s="178"/>
    </row>
    <row r="679" spans="1:8" ht="12.75">
      <c r="A679" s="178"/>
      <c r="B679" s="178"/>
      <c r="C679" s="178"/>
      <c r="D679" s="178"/>
      <c r="E679" s="178"/>
      <c r="F679" s="178"/>
      <c r="G679" s="178"/>
      <c r="H679" s="178"/>
    </row>
    <row r="680" spans="1:8" ht="12.75">
      <c r="A680" s="178"/>
      <c r="B680" s="178"/>
      <c r="C680" s="178"/>
      <c r="D680" s="178"/>
      <c r="E680" s="178"/>
      <c r="F680" s="178"/>
      <c r="G680" s="178"/>
      <c r="H680" s="178"/>
    </row>
    <row r="681" spans="1:8" ht="12.75">
      <c r="A681" s="178"/>
      <c r="B681" s="178"/>
      <c r="C681" s="178"/>
      <c r="D681" s="178"/>
      <c r="E681" s="178"/>
      <c r="F681" s="178"/>
      <c r="G681" s="178"/>
      <c r="H681" s="178"/>
    </row>
    <row r="682" spans="1:8" ht="12.75">
      <c r="A682" s="178"/>
      <c r="B682" s="178"/>
      <c r="C682" s="178"/>
      <c r="D682" s="178"/>
      <c r="E682" s="178"/>
      <c r="F682" s="178"/>
      <c r="G682" s="178"/>
      <c r="H682" s="178"/>
    </row>
    <row r="683" spans="1:8" ht="12.75">
      <c r="A683" s="178"/>
      <c r="B683" s="178"/>
      <c r="C683" s="178"/>
      <c r="D683" s="178"/>
      <c r="E683" s="178"/>
      <c r="F683" s="178"/>
      <c r="G683" s="178"/>
      <c r="H683" s="178"/>
    </row>
    <row r="684" spans="1:8" ht="12.75">
      <c r="A684" s="178"/>
      <c r="B684" s="178"/>
      <c r="C684" s="178"/>
      <c r="D684" s="178"/>
      <c r="E684" s="178"/>
      <c r="F684" s="178"/>
      <c r="G684" s="178"/>
      <c r="H684" s="178"/>
    </row>
    <row r="685" spans="1:8" ht="12.75">
      <c r="A685" s="178"/>
      <c r="B685" s="178"/>
      <c r="C685" s="178"/>
      <c r="D685" s="178"/>
      <c r="E685" s="178"/>
      <c r="F685" s="178"/>
      <c r="G685" s="178"/>
      <c r="H685" s="178"/>
    </row>
    <row r="686" spans="1:8" ht="12.75">
      <c r="A686" s="178"/>
      <c r="B686" s="178"/>
      <c r="C686" s="178"/>
      <c r="D686" s="178"/>
      <c r="E686" s="178"/>
      <c r="F686" s="178"/>
      <c r="G686" s="178"/>
      <c r="H686" s="178"/>
    </row>
    <row r="687" spans="1:8" ht="12.75">
      <c r="A687" s="178"/>
      <c r="B687" s="178"/>
      <c r="C687" s="178"/>
      <c r="D687" s="178"/>
      <c r="E687" s="178"/>
      <c r="F687" s="178"/>
      <c r="G687" s="178"/>
      <c r="H687" s="178"/>
    </row>
    <row r="688" spans="1:8" ht="12.75">
      <c r="A688" s="178"/>
      <c r="B688" s="178"/>
      <c r="C688" s="178"/>
      <c r="D688" s="178"/>
      <c r="E688" s="178"/>
      <c r="F688" s="178"/>
      <c r="G688" s="178"/>
      <c r="H688" s="178"/>
    </row>
    <row r="689" spans="1:8" ht="12.75">
      <c r="A689" s="178"/>
      <c r="B689" s="178"/>
      <c r="C689" s="178"/>
      <c r="D689" s="178"/>
      <c r="E689" s="178"/>
      <c r="F689" s="178"/>
      <c r="G689" s="178"/>
      <c r="H689" s="178"/>
    </row>
    <row r="690" spans="1:8" ht="12.75">
      <c r="A690" s="178"/>
      <c r="B690" s="178"/>
      <c r="C690" s="178"/>
      <c r="D690" s="178"/>
      <c r="E690" s="178"/>
      <c r="F690" s="178"/>
      <c r="G690" s="178"/>
      <c r="H690" s="178"/>
    </row>
    <row r="691" spans="1:8" ht="12.75">
      <c r="A691" s="178"/>
      <c r="B691" s="178"/>
      <c r="C691" s="178"/>
      <c r="D691" s="178"/>
      <c r="E691" s="178"/>
      <c r="F691" s="178"/>
      <c r="G691" s="178"/>
      <c r="H691" s="178"/>
    </row>
    <row r="692" spans="1:8" ht="12.75">
      <c r="A692" s="178"/>
      <c r="B692" s="178"/>
      <c r="C692" s="178"/>
      <c r="D692" s="178"/>
      <c r="E692" s="178"/>
      <c r="F692" s="178"/>
      <c r="G692" s="178"/>
      <c r="H692" s="178"/>
    </row>
    <row r="693" spans="1:8" ht="12.75">
      <c r="A693" s="178"/>
      <c r="B693" s="178"/>
      <c r="C693" s="178"/>
      <c r="D693" s="178"/>
      <c r="E693" s="178"/>
      <c r="F693" s="178"/>
      <c r="G693" s="178"/>
      <c r="H693" s="178"/>
    </row>
    <row r="694" spans="1:8" ht="12.75">
      <c r="A694" s="178"/>
      <c r="B694" s="178"/>
      <c r="C694" s="178"/>
      <c r="D694" s="178"/>
      <c r="E694" s="178"/>
      <c r="F694" s="178"/>
      <c r="G694" s="178"/>
      <c r="H694" s="178"/>
    </row>
    <row r="695" spans="1:8" ht="12.75">
      <c r="A695" s="178"/>
      <c r="B695" s="178"/>
      <c r="C695" s="178"/>
      <c r="D695" s="178"/>
      <c r="E695" s="178"/>
      <c r="F695" s="178"/>
      <c r="G695" s="178"/>
      <c r="H695" s="178"/>
    </row>
    <row r="696" spans="1:8" ht="12.75">
      <c r="A696" s="178"/>
      <c r="B696" s="178"/>
      <c r="C696" s="178"/>
      <c r="D696" s="178"/>
      <c r="E696" s="178"/>
      <c r="F696" s="178"/>
      <c r="G696" s="178"/>
      <c r="H696" s="178"/>
    </row>
    <row r="697" spans="1:8" ht="12.75">
      <c r="A697" s="178"/>
      <c r="B697" s="178"/>
      <c r="C697" s="178"/>
      <c r="D697" s="178"/>
      <c r="E697" s="178"/>
      <c r="F697" s="178"/>
      <c r="G697" s="178"/>
      <c r="H697" s="178"/>
    </row>
    <row r="698" spans="1:8" ht="12.75">
      <c r="A698" s="178"/>
      <c r="B698" s="178"/>
      <c r="C698" s="178"/>
      <c r="D698" s="178"/>
      <c r="E698" s="178"/>
      <c r="F698" s="178"/>
      <c r="G698" s="178"/>
      <c r="H698" s="178"/>
    </row>
    <row r="699" spans="1:8" ht="12.75">
      <c r="A699" s="178"/>
      <c r="B699" s="178"/>
      <c r="C699" s="178"/>
      <c r="D699" s="178"/>
      <c r="E699" s="178"/>
      <c r="F699" s="178"/>
      <c r="G699" s="178"/>
      <c r="H699" s="178"/>
    </row>
    <row r="700" spans="1:8" ht="12.75">
      <c r="A700" s="178"/>
      <c r="B700" s="178"/>
      <c r="C700" s="178"/>
      <c r="D700" s="178"/>
      <c r="E700" s="178"/>
      <c r="F700" s="178"/>
      <c r="G700" s="178"/>
      <c r="H700" s="178"/>
    </row>
    <row r="701" spans="1:8" ht="12.75">
      <c r="A701" s="178"/>
      <c r="B701" s="178"/>
      <c r="C701" s="178"/>
      <c r="D701" s="178"/>
      <c r="E701" s="178"/>
      <c r="F701" s="178"/>
      <c r="G701" s="178"/>
      <c r="H701" s="178"/>
    </row>
    <row r="702" spans="1:8" ht="12.75">
      <c r="A702" s="178"/>
      <c r="B702" s="178"/>
      <c r="C702" s="178"/>
      <c r="D702" s="178"/>
      <c r="E702" s="178"/>
      <c r="F702" s="178"/>
      <c r="G702" s="178"/>
      <c r="H702" s="178"/>
    </row>
    <row r="703" spans="1:8" ht="12.75">
      <c r="A703" s="178"/>
      <c r="B703" s="178"/>
      <c r="C703" s="178"/>
      <c r="D703" s="178"/>
      <c r="E703" s="178"/>
      <c r="F703" s="178"/>
      <c r="G703" s="178"/>
      <c r="H703" s="178"/>
    </row>
    <row r="704" spans="1:8" ht="12.75">
      <c r="A704" s="178"/>
      <c r="B704" s="178"/>
      <c r="C704" s="178"/>
      <c r="D704" s="178"/>
      <c r="E704" s="178"/>
      <c r="F704" s="178"/>
      <c r="G704" s="178"/>
      <c r="H704" s="178"/>
    </row>
    <row r="705" spans="1:8" ht="12.75">
      <c r="A705" s="178"/>
      <c r="B705" s="178"/>
      <c r="C705" s="178"/>
      <c r="D705" s="178"/>
      <c r="E705" s="178"/>
      <c r="F705" s="178"/>
      <c r="G705" s="178"/>
      <c r="H705" s="178"/>
    </row>
    <row r="706" spans="1:8" ht="12.75">
      <c r="A706" s="178"/>
      <c r="B706" s="178"/>
      <c r="C706" s="178"/>
      <c r="D706" s="178"/>
      <c r="E706" s="178"/>
      <c r="F706" s="178"/>
      <c r="G706" s="178"/>
      <c r="H706" s="178"/>
    </row>
    <row r="707" spans="1:8" ht="12.75">
      <c r="A707" s="178"/>
      <c r="B707" s="178"/>
      <c r="C707" s="178"/>
      <c r="D707" s="178"/>
      <c r="E707" s="178"/>
      <c r="F707" s="178"/>
      <c r="G707" s="178"/>
      <c r="H707" s="178"/>
    </row>
    <row r="708" spans="1:8" ht="12.75">
      <c r="A708" s="178"/>
      <c r="B708" s="178"/>
      <c r="C708" s="178"/>
      <c r="D708" s="178"/>
      <c r="E708" s="178"/>
      <c r="F708" s="178"/>
      <c r="G708" s="178"/>
      <c r="H708" s="178"/>
    </row>
    <row r="709" spans="1:8" ht="12.75">
      <c r="A709" s="178"/>
      <c r="B709" s="178"/>
      <c r="C709" s="178"/>
      <c r="D709" s="178"/>
      <c r="E709" s="178"/>
      <c r="F709" s="178"/>
      <c r="G709" s="178"/>
      <c r="H709" s="178"/>
    </row>
    <row r="710" spans="1:8" ht="12.75">
      <c r="A710" s="178"/>
      <c r="B710" s="178"/>
      <c r="C710" s="178"/>
      <c r="D710" s="178"/>
      <c r="E710" s="178"/>
      <c r="F710" s="178"/>
      <c r="G710" s="178"/>
      <c r="H710" s="178"/>
    </row>
    <row r="711" spans="1:8" ht="12.75">
      <c r="A711" s="178"/>
      <c r="B711" s="178"/>
      <c r="C711" s="178"/>
      <c r="D711" s="178"/>
      <c r="E711" s="178"/>
      <c r="F711" s="178"/>
      <c r="G711" s="178"/>
      <c r="H711" s="178"/>
    </row>
    <row r="712" spans="1:8" ht="12.75">
      <c r="A712" s="178"/>
      <c r="B712" s="178"/>
      <c r="C712" s="178"/>
      <c r="D712" s="178"/>
      <c r="E712" s="178"/>
      <c r="F712" s="178"/>
      <c r="G712" s="178"/>
      <c r="H712" s="178"/>
    </row>
    <row r="713" spans="1:8" ht="12.75">
      <c r="A713" s="178"/>
      <c r="B713" s="178"/>
      <c r="C713" s="178"/>
      <c r="D713" s="178"/>
      <c r="E713" s="178"/>
      <c r="F713" s="178"/>
      <c r="G713" s="178"/>
      <c r="H713" s="178"/>
    </row>
    <row r="714" spans="1:8" ht="12.75">
      <c r="A714" s="178"/>
      <c r="B714" s="178"/>
      <c r="C714" s="178"/>
      <c r="D714" s="178"/>
      <c r="E714" s="178"/>
      <c r="F714" s="178"/>
      <c r="G714" s="178"/>
      <c r="H714" s="178"/>
    </row>
    <row r="715" spans="1:8" ht="12.75">
      <c r="A715" s="178"/>
      <c r="B715" s="178"/>
      <c r="C715" s="178"/>
      <c r="D715" s="178"/>
      <c r="E715" s="178"/>
      <c r="F715" s="178"/>
      <c r="G715" s="178"/>
      <c r="H715" s="178"/>
    </row>
    <row r="716" spans="1:8" ht="12.75">
      <c r="A716" s="178"/>
      <c r="B716" s="178"/>
      <c r="C716" s="178"/>
      <c r="D716" s="178"/>
      <c r="E716" s="178"/>
      <c r="F716" s="178"/>
      <c r="G716" s="178"/>
      <c r="H716" s="178"/>
    </row>
    <row r="717" spans="1:8" ht="12.75">
      <c r="A717" s="178"/>
      <c r="B717" s="178"/>
      <c r="C717" s="178"/>
      <c r="D717" s="178"/>
      <c r="E717" s="178"/>
      <c r="F717" s="178"/>
      <c r="G717" s="178"/>
      <c r="H717" s="178"/>
    </row>
    <row r="718" spans="1:8" ht="12.75">
      <c r="A718" s="178"/>
      <c r="B718" s="178"/>
      <c r="C718" s="178"/>
      <c r="D718" s="178"/>
      <c r="E718" s="178"/>
      <c r="F718" s="178"/>
      <c r="G718" s="178"/>
      <c r="H718" s="178"/>
    </row>
    <row r="719" spans="1:8" ht="12.75">
      <c r="A719" s="178"/>
      <c r="B719" s="178"/>
      <c r="C719" s="178"/>
      <c r="D719" s="178"/>
      <c r="E719" s="178"/>
      <c r="F719" s="178"/>
      <c r="G719" s="178"/>
      <c r="H719" s="178"/>
    </row>
    <row r="720" spans="1:8" ht="12.75">
      <c r="A720" s="178"/>
      <c r="B720" s="178"/>
      <c r="C720" s="178"/>
      <c r="D720" s="178"/>
      <c r="E720" s="178"/>
      <c r="F720" s="178"/>
      <c r="G720" s="178"/>
      <c r="H720" s="178"/>
    </row>
    <row r="721" spans="1:8" ht="12.75">
      <c r="A721" s="178"/>
      <c r="B721" s="178"/>
      <c r="C721" s="178"/>
      <c r="D721" s="178"/>
      <c r="E721" s="178"/>
      <c r="F721" s="178"/>
      <c r="G721" s="178"/>
      <c r="H721" s="178"/>
    </row>
    <row r="722" spans="1:8" ht="12.75">
      <c r="A722" s="178"/>
      <c r="B722" s="178"/>
      <c r="C722" s="178"/>
      <c r="D722" s="178"/>
      <c r="E722" s="178"/>
      <c r="F722" s="178"/>
      <c r="G722" s="178"/>
      <c r="H722" s="178"/>
    </row>
    <row r="723" spans="1:8" ht="12.75">
      <c r="A723" s="178"/>
      <c r="B723" s="178"/>
      <c r="C723" s="178"/>
      <c r="D723" s="178"/>
      <c r="E723" s="178"/>
      <c r="F723" s="178"/>
      <c r="G723" s="178"/>
      <c r="H723" s="178"/>
    </row>
    <row r="724" spans="1:8" ht="12.75">
      <c r="A724" s="178"/>
      <c r="B724" s="178"/>
      <c r="C724" s="178"/>
      <c r="D724" s="178"/>
      <c r="E724" s="178"/>
      <c r="F724" s="178"/>
      <c r="G724" s="178"/>
      <c r="H724" s="178"/>
    </row>
    <row r="725" spans="1:8" ht="12.75">
      <c r="A725" s="178"/>
      <c r="B725" s="178"/>
      <c r="C725" s="178"/>
      <c r="D725" s="178"/>
      <c r="E725" s="178"/>
      <c r="F725" s="178"/>
      <c r="G725" s="178"/>
      <c r="H725" s="178"/>
    </row>
    <row r="726" spans="1:8" ht="12.75">
      <c r="A726" s="178"/>
      <c r="B726" s="178"/>
      <c r="C726" s="178"/>
      <c r="D726" s="178"/>
      <c r="E726" s="178"/>
      <c r="F726" s="178"/>
      <c r="G726" s="178"/>
      <c r="H726" s="178"/>
    </row>
    <row r="727" spans="1:8" ht="12.75">
      <c r="A727" s="178"/>
      <c r="B727" s="178"/>
      <c r="C727" s="178"/>
      <c r="D727" s="178"/>
      <c r="E727" s="178"/>
      <c r="F727" s="178"/>
      <c r="G727" s="178"/>
      <c r="H727" s="178"/>
    </row>
    <row r="728" spans="1:8" ht="12.75">
      <c r="A728" s="178"/>
      <c r="B728" s="178"/>
      <c r="C728" s="178"/>
      <c r="D728" s="178"/>
      <c r="E728" s="178"/>
      <c r="F728" s="178"/>
      <c r="G728" s="178"/>
      <c r="H728" s="178"/>
    </row>
    <row r="729" spans="1:8" ht="12.75">
      <c r="A729" s="178"/>
      <c r="B729" s="178"/>
      <c r="C729" s="178"/>
      <c r="D729" s="178"/>
      <c r="E729" s="178"/>
      <c r="F729" s="178"/>
      <c r="G729" s="178"/>
      <c r="H729" s="178"/>
    </row>
    <row r="730" spans="1:8" ht="12.75">
      <c r="A730" s="178"/>
      <c r="B730" s="178"/>
      <c r="C730" s="178"/>
      <c r="D730" s="178"/>
      <c r="E730" s="178"/>
      <c r="F730" s="178"/>
      <c r="G730" s="178"/>
      <c r="H730" s="178"/>
    </row>
    <row r="731" spans="1:8" ht="12.75">
      <c r="A731" s="178"/>
      <c r="B731" s="178"/>
      <c r="C731" s="178"/>
      <c r="D731" s="178"/>
      <c r="E731" s="178"/>
      <c r="F731" s="178"/>
      <c r="G731" s="178"/>
      <c r="H731" s="178"/>
    </row>
    <row r="732" spans="1:8" ht="12.75">
      <c r="A732" s="178"/>
      <c r="B732" s="178"/>
      <c r="C732" s="178"/>
      <c r="D732" s="178"/>
      <c r="E732" s="178"/>
      <c r="F732" s="178"/>
      <c r="G732" s="178"/>
      <c r="H732" s="178"/>
    </row>
    <row r="733" spans="1:8" ht="12.75">
      <c r="A733" s="178"/>
      <c r="B733" s="178"/>
      <c r="C733" s="178"/>
      <c r="D733" s="178"/>
      <c r="E733" s="178"/>
      <c r="F733" s="178"/>
      <c r="G733" s="178"/>
      <c r="H733" s="178"/>
    </row>
    <row r="734" spans="1:8" ht="12.75">
      <c r="A734" s="178"/>
      <c r="B734" s="178"/>
      <c r="C734" s="178"/>
      <c r="D734" s="178"/>
      <c r="E734" s="178"/>
      <c r="F734" s="178"/>
      <c r="G734" s="178"/>
      <c r="H734" s="178"/>
    </row>
    <row r="735" spans="1:8" ht="12.75">
      <c r="A735" s="178"/>
      <c r="B735" s="178"/>
      <c r="C735" s="178"/>
      <c r="D735" s="178"/>
      <c r="E735" s="178"/>
      <c r="F735" s="178"/>
      <c r="G735" s="178"/>
      <c r="H735" s="178"/>
    </row>
    <row r="736" spans="1:8" ht="12.75">
      <c r="A736" s="178"/>
      <c r="B736" s="178"/>
      <c r="C736" s="178"/>
      <c r="D736" s="178"/>
      <c r="E736" s="178"/>
      <c r="F736" s="178"/>
      <c r="G736" s="178"/>
      <c r="H736" s="178"/>
    </row>
    <row r="737" spans="1:8" ht="12.75">
      <c r="A737" s="178"/>
      <c r="B737" s="178"/>
      <c r="C737" s="178"/>
      <c r="D737" s="178"/>
      <c r="E737" s="178"/>
      <c r="F737" s="178"/>
      <c r="G737" s="178"/>
      <c r="H737" s="178"/>
    </row>
    <row r="738" spans="1:8" ht="12.75">
      <c r="A738" s="178"/>
      <c r="B738" s="178"/>
      <c r="C738" s="178"/>
      <c r="D738" s="178"/>
      <c r="E738" s="178"/>
      <c r="F738" s="178"/>
      <c r="G738" s="178"/>
      <c r="H738" s="178"/>
    </row>
    <row r="739" spans="1:8" ht="12.75">
      <c r="A739" s="178"/>
      <c r="B739" s="178"/>
      <c r="C739" s="178"/>
      <c r="D739" s="178"/>
      <c r="E739" s="178"/>
      <c r="F739" s="178"/>
      <c r="G739" s="178"/>
      <c r="H739" s="178"/>
    </row>
    <row r="740" spans="1:8" ht="12.75">
      <c r="A740" s="178"/>
      <c r="B740" s="178"/>
      <c r="C740" s="178"/>
      <c r="D740" s="178"/>
      <c r="E740" s="178"/>
      <c r="F740" s="178"/>
      <c r="G740" s="178"/>
      <c r="H740" s="178"/>
    </row>
    <row r="741" spans="1:8" ht="12.75">
      <c r="A741" s="178"/>
      <c r="B741" s="178"/>
      <c r="C741" s="178"/>
      <c r="D741" s="178"/>
      <c r="E741" s="178"/>
      <c r="F741" s="178"/>
      <c r="G741" s="178"/>
      <c r="H741" s="178"/>
    </row>
    <row r="742" spans="1:8" ht="12.75">
      <c r="A742" s="178"/>
      <c r="B742" s="178"/>
      <c r="C742" s="178"/>
      <c r="D742" s="178"/>
      <c r="E742" s="178"/>
      <c r="F742" s="178"/>
      <c r="G742" s="178"/>
      <c r="H742" s="178"/>
    </row>
    <row r="743" spans="1:8" ht="12.75">
      <c r="A743" s="178"/>
      <c r="B743" s="178"/>
      <c r="C743" s="178"/>
      <c r="D743" s="178"/>
      <c r="E743" s="178"/>
      <c r="F743" s="178"/>
      <c r="G743" s="178"/>
      <c r="H743" s="178"/>
    </row>
    <row r="744" spans="1:8" ht="12.75">
      <c r="A744" s="178"/>
      <c r="B744" s="178"/>
      <c r="C744" s="178"/>
      <c r="D744" s="178"/>
      <c r="E744" s="178"/>
      <c r="F744" s="178"/>
      <c r="G744" s="178"/>
      <c r="H744" s="178"/>
    </row>
    <row r="745" spans="1:8" ht="12.75">
      <c r="A745" s="178"/>
      <c r="B745" s="178"/>
      <c r="C745" s="178"/>
      <c r="D745" s="178"/>
      <c r="E745" s="178"/>
      <c r="F745" s="178"/>
      <c r="G745" s="178"/>
      <c r="H745" s="178"/>
    </row>
    <row r="746" spans="1:8" ht="12.75">
      <c r="A746" s="178"/>
      <c r="B746" s="178"/>
      <c r="C746" s="178"/>
      <c r="D746" s="178"/>
      <c r="E746" s="178"/>
      <c r="F746" s="178"/>
      <c r="G746" s="178"/>
      <c r="H746" s="178"/>
    </row>
    <row r="747" spans="1:8" ht="12.75">
      <c r="A747" s="178"/>
      <c r="B747" s="178"/>
      <c r="C747" s="178"/>
      <c r="D747" s="178"/>
      <c r="E747" s="178"/>
      <c r="F747" s="178"/>
      <c r="G747" s="178"/>
      <c r="H747" s="178"/>
    </row>
    <row r="748" spans="1:8" ht="12.75">
      <c r="A748" s="178"/>
      <c r="B748" s="178"/>
      <c r="C748" s="178"/>
      <c r="D748" s="178"/>
      <c r="E748" s="178"/>
      <c r="F748" s="178"/>
      <c r="G748" s="178"/>
      <c r="H748" s="178"/>
    </row>
    <row r="749" spans="1:8" ht="12.75">
      <c r="A749" s="178"/>
      <c r="B749" s="178"/>
      <c r="C749" s="178"/>
      <c r="D749" s="178"/>
      <c r="E749" s="178"/>
      <c r="F749" s="178"/>
      <c r="G749" s="178"/>
      <c r="H749" s="178"/>
    </row>
    <row r="750" spans="1:8" ht="12.75">
      <c r="A750" s="178"/>
      <c r="B750" s="178"/>
      <c r="C750" s="178"/>
      <c r="D750" s="178"/>
      <c r="E750" s="178"/>
      <c r="F750" s="178"/>
      <c r="G750" s="178"/>
      <c r="H750" s="178"/>
    </row>
    <row r="751" spans="1:8" ht="12.75">
      <c r="A751" s="178"/>
      <c r="B751" s="178"/>
      <c r="C751" s="178"/>
      <c r="D751" s="178"/>
      <c r="E751" s="178"/>
      <c r="F751" s="178"/>
      <c r="G751" s="178"/>
      <c r="H751" s="178"/>
    </row>
    <row r="752" spans="1:8" ht="12.75">
      <c r="A752" s="178"/>
      <c r="B752" s="178"/>
      <c r="C752" s="178"/>
      <c r="D752" s="178"/>
      <c r="E752" s="178"/>
      <c r="F752" s="178"/>
      <c r="G752" s="178"/>
      <c r="H752" s="178"/>
    </row>
    <row r="753" spans="1:8" ht="12.75">
      <c r="A753" s="178"/>
      <c r="B753" s="178"/>
      <c r="C753" s="178"/>
      <c r="D753" s="178"/>
      <c r="E753" s="178"/>
      <c r="F753" s="178"/>
      <c r="G753" s="178"/>
      <c r="H753" s="178"/>
    </row>
    <row r="754" spans="1:8" ht="12.75">
      <c r="A754" s="178"/>
      <c r="B754" s="178"/>
      <c r="C754" s="178"/>
      <c r="D754" s="178"/>
      <c r="E754" s="178"/>
      <c r="F754" s="178"/>
      <c r="G754" s="178"/>
      <c r="H754" s="178"/>
    </row>
    <row r="755" spans="1:8" ht="12.75">
      <c r="A755" s="178"/>
      <c r="B755" s="178"/>
      <c r="C755" s="178"/>
      <c r="D755" s="178"/>
      <c r="E755" s="178"/>
      <c r="F755" s="178"/>
      <c r="G755" s="178"/>
      <c r="H755" s="178"/>
    </row>
    <row r="756" spans="1:8" ht="12.75">
      <c r="A756" s="178"/>
      <c r="B756" s="178"/>
      <c r="C756" s="178"/>
      <c r="D756" s="178"/>
      <c r="E756" s="178"/>
      <c r="F756" s="178"/>
      <c r="G756" s="178"/>
      <c r="H756" s="178"/>
    </row>
    <row r="757" spans="1:8" ht="12.75">
      <c r="A757" s="178"/>
      <c r="B757" s="178"/>
      <c r="C757" s="178"/>
      <c r="D757" s="178"/>
      <c r="E757" s="178"/>
      <c r="F757" s="178"/>
      <c r="G757" s="178"/>
      <c r="H757" s="178"/>
    </row>
    <row r="758" spans="1:8" ht="12.75">
      <c r="A758" s="178"/>
      <c r="B758" s="178"/>
      <c r="C758" s="178"/>
      <c r="D758" s="178"/>
      <c r="E758" s="178"/>
      <c r="F758" s="178"/>
      <c r="G758" s="178"/>
      <c r="H758" s="178"/>
    </row>
    <row r="759" spans="1:8" ht="12.75">
      <c r="A759" s="178"/>
      <c r="B759" s="178"/>
      <c r="C759" s="178"/>
      <c r="D759" s="178"/>
      <c r="E759" s="178"/>
      <c r="F759" s="178"/>
      <c r="G759" s="178"/>
      <c r="H759" s="178"/>
    </row>
    <row r="760" spans="1:8" ht="12.75">
      <c r="A760" s="178"/>
      <c r="B760" s="178"/>
      <c r="C760" s="178"/>
      <c r="D760" s="178"/>
      <c r="E760" s="178"/>
      <c r="F760" s="178"/>
      <c r="G760" s="178"/>
      <c r="H760" s="178"/>
    </row>
    <row r="761" spans="1:8" ht="12.75">
      <c r="A761" s="178"/>
      <c r="B761" s="178"/>
      <c r="C761" s="178"/>
      <c r="D761" s="178"/>
      <c r="E761" s="178"/>
      <c r="F761" s="178"/>
      <c r="G761" s="178"/>
      <c r="H761" s="178"/>
    </row>
    <row r="762" spans="1:8" ht="12.75">
      <c r="A762" s="178"/>
      <c r="B762" s="178"/>
      <c r="C762" s="178"/>
      <c r="D762" s="178"/>
      <c r="E762" s="178"/>
      <c r="F762" s="178"/>
      <c r="G762" s="178"/>
      <c r="H762" s="178"/>
    </row>
    <row r="763" spans="1:8" ht="12.75">
      <c r="A763" s="178"/>
      <c r="B763" s="178"/>
      <c r="C763" s="178"/>
      <c r="D763" s="178"/>
      <c r="E763" s="178"/>
      <c r="F763" s="178"/>
      <c r="G763" s="178"/>
      <c r="H763" s="178"/>
    </row>
    <row r="764" spans="1:8" ht="12.75">
      <c r="A764" s="178"/>
      <c r="B764" s="178"/>
      <c r="C764" s="178"/>
      <c r="D764" s="178"/>
      <c r="E764" s="178"/>
      <c r="F764" s="178"/>
      <c r="G764" s="178"/>
      <c r="H764" s="178"/>
    </row>
    <row r="765" spans="1:8" ht="12.75">
      <c r="A765" s="178"/>
      <c r="B765" s="178"/>
      <c r="C765" s="178"/>
      <c r="D765" s="178"/>
      <c r="E765" s="178"/>
      <c r="F765" s="178"/>
      <c r="G765" s="178"/>
      <c r="H765" s="178"/>
    </row>
    <row r="766" spans="1:8" ht="12.75">
      <c r="A766" s="178"/>
      <c r="B766" s="178"/>
      <c r="C766" s="178"/>
      <c r="D766" s="178"/>
      <c r="E766" s="178"/>
      <c r="F766" s="178"/>
      <c r="G766" s="178"/>
      <c r="H766" s="178"/>
    </row>
    <row r="767" spans="1:8" ht="12.75">
      <c r="A767" s="178"/>
      <c r="B767" s="178"/>
      <c r="C767" s="178"/>
      <c r="D767" s="178"/>
      <c r="E767" s="178"/>
      <c r="F767" s="178"/>
      <c r="G767" s="178"/>
      <c r="H767" s="178"/>
    </row>
    <row r="768" spans="1:8" ht="12.75">
      <c r="A768" s="178"/>
      <c r="B768" s="178"/>
      <c r="C768" s="178"/>
      <c r="D768" s="178"/>
      <c r="E768" s="178"/>
      <c r="F768" s="178"/>
      <c r="G768" s="178"/>
      <c r="H768" s="178"/>
    </row>
    <row r="769" spans="1:8" ht="12.75">
      <c r="A769" s="178"/>
      <c r="B769" s="178"/>
      <c r="C769" s="178"/>
      <c r="D769" s="178"/>
      <c r="E769" s="178"/>
      <c r="F769" s="178"/>
      <c r="G769" s="178"/>
      <c r="H769" s="178"/>
    </row>
    <row r="770" spans="1:8" ht="12.75">
      <c r="A770" s="178"/>
      <c r="B770" s="178"/>
      <c r="C770" s="178"/>
      <c r="D770" s="178"/>
      <c r="E770" s="178"/>
      <c r="F770" s="178"/>
      <c r="G770" s="178"/>
      <c r="H770" s="178"/>
    </row>
    <row r="771" spans="1:8" ht="12.75">
      <c r="A771" s="178"/>
      <c r="B771" s="178"/>
      <c r="C771" s="178"/>
      <c r="D771" s="178"/>
      <c r="E771" s="178"/>
      <c r="F771" s="178"/>
      <c r="G771" s="178"/>
      <c r="H771" s="178"/>
    </row>
    <row r="772" spans="1:8" ht="12.75">
      <c r="A772" s="178"/>
      <c r="B772" s="178"/>
      <c r="C772" s="178"/>
      <c r="D772" s="178"/>
      <c r="E772" s="178"/>
      <c r="F772" s="178"/>
      <c r="G772" s="178"/>
      <c r="H772" s="178"/>
    </row>
    <row r="773" spans="1:8" ht="12.75">
      <c r="A773" s="178"/>
      <c r="B773" s="178"/>
      <c r="C773" s="178"/>
      <c r="D773" s="178"/>
      <c r="E773" s="178"/>
      <c r="F773" s="178"/>
      <c r="G773" s="178"/>
      <c r="H773" s="178"/>
    </row>
    <row r="774" spans="1:8" ht="12.75">
      <c r="A774" s="178"/>
      <c r="B774" s="178"/>
      <c r="C774" s="178"/>
      <c r="D774" s="178"/>
      <c r="E774" s="178"/>
      <c r="F774" s="178"/>
      <c r="G774" s="178"/>
      <c r="H774" s="178"/>
    </row>
    <row r="775" spans="1:8" ht="12.75">
      <c r="A775" s="178"/>
      <c r="B775" s="178"/>
      <c r="C775" s="178"/>
      <c r="D775" s="178"/>
      <c r="E775" s="178"/>
      <c r="F775" s="178"/>
      <c r="G775" s="178"/>
      <c r="H775" s="178"/>
    </row>
    <row r="776" spans="1:8" ht="12.75">
      <c r="A776" s="178"/>
      <c r="B776" s="178"/>
      <c r="C776" s="178"/>
      <c r="D776" s="178"/>
      <c r="E776" s="178"/>
      <c r="F776" s="178"/>
      <c r="G776" s="178"/>
      <c r="H776" s="178"/>
    </row>
    <row r="777" spans="1:8" ht="12.75">
      <c r="A777" s="178"/>
      <c r="B777" s="178"/>
      <c r="C777" s="178"/>
      <c r="D777" s="178"/>
      <c r="E777" s="178"/>
      <c r="F777" s="178"/>
      <c r="G777" s="178"/>
      <c r="H777" s="178"/>
    </row>
    <row r="778" spans="1:8" ht="12.75">
      <c r="A778" s="178"/>
      <c r="B778" s="178"/>
      <c r="C778" s="178"/>
      <c r="D778" s="178"/>
      <c r="E778" s="178"/>
      <c r="F778" s="178"/>
      <c r="G778" s="178"/>
      <c r="H778" s="178"/>
    </row>
    <row r="779" spans="1:8" ht="12.75">
      <c r="A779" s="178"/>
      <c r="B779" s="178"/>
      <c r="C779" s="178"/>
      <c r="D779" s="178"/>
      <c r="E779" s="178"/>
      <c r="F779" s="178"/>
      <c r="G779" s="178"/>
      <c r="H779" s="178"/>
    </row>
    <row r="780" spans="1:8" ht="12.75">
      <c r="A780" s="178"/>
      <c r="B780" s="178"/>
      <c r="C780" s="178"/>
      <c r="D780" s="178"/>
      <c r="E780" s="178"/>
      <c r="F780" s="178"/>
      <c r="G780" s="178"/>
      <c r="H780" s="178"/>
    </row>
    <row r="781" spans="1:8" ht="12.75">
      <c r="A781" s="178"/>
      <c r="B781" s="178"/>
      <c r="C781" s="178"/>
      <c r="D781" s="178"/>
      <c r="E781" s="178"/>
      <c r="F781" s="178"/>
      <c r="G781" s="178"/>
      <c r="H781" s="178"/>
    </row>
    <row r="782" spans="1:8" ht="12.75">
      <c r="A782" s="178"/>
      <c r="B782" s="178"/>
      <c r="C782" s="178"/>
      <c r="D782" s="178"/>
      <c r="E782" s="178"/>
      <c r="F782" s="178"/>
      <c r="G782" s="178"/>
      <c r="H782" s="178"/>
    </row>
    <row r="783" spans="1:8" ht="12.75">
      <c r="A783" s="178"/>
      <c r="B783" s="178"/>
      <c r="C783" s="178"/>
      <c r="D783" s="178"/>
      <c r="E783" s="178"/>
      <c r="F783" s="178"/>
      <c r="G783" s="178"/>
      <c r="H783" s="178"/>
    </row>
    <row r="784" spans="1:8" ht="12.75">
      <c r="A784" s="178"/>
      <c r="B784" s="178"/>
      <c r="C784" s="178"/>
      <c r="D784" s="178"/>
      <c r="E784" s="178"/>
      <c r="F784" s="178"/>
      <c r="G784" s="178"/>
      <c r="H784" s="178"/>
    </row>
    <row r="785" spans="1:8" ht="12.75">
      <c r="A785" s="178"/>
      <c r="B785" s="178"/>
      <c r="C785" s="178"/>
      <c r="D785" s="178"/>
      <c r="E785" s="178"/>
      <c r="F785" s="178"/>
      <c r="G785" s="178"/>
      <c r="H785" s="178"/>
    </row>
    <row r="786" spans="1:8" ht="12.75">
      <c r="A786" s="178"/>
      <c r="B786" s="178"/>
      <c r="C786" s="178"/>
      <c r="D786" s="178"/>
      <c r="E786" s="178"/>
      <c r="F786" s="178"/>
      <c r="G786" s="178"/>
      <c r="H786" s="178"/>
    </row>
    <row r="787" spans="1:8" ht="12.75">
      <c r="A787" s="178"/>
      <c r="B787" s="178"/>
      <c r="C787" s="178"/>
      <c r="D787" s="178"/>
      <c r="E787" s="178"/>
      <c r="F787" s="178"/>
      <c r="G787" s="178"/>
      <c r="H787" s="178"/>
    </row>
    <row r="788" spans="1:8" ht="12.75">
      <c r="A788" s="178"/>
      <c r="B788" s="178"/>
      <c r="C788" s="178"/>
      <c r="D788" s="178"/>
      <c r="E788" s="178"/>
      <c r="F788" s="178"/>
      <c r="G788" s="178"/>
      <c r="H788" s="178"/>
    </row>
    <row r="789" spans="1:8" ht="12.75">
      <c r="A789" s="178"/>
      <c r="B789" s="178"/>
      <c r="C789" s="178"/>
      <c r="D789" s="178"/>
      <c r="E789" s="178"/>
      <c r="F789" s="178"/>
      <c r="G789" s="178"/>
      <c r="H789" s="178"/>
    </row>
    <row r="790" spans="1:8" ht="12.75">
      <c r="A790" s="178"/>
      <c r="B790" s="178"/>
      <c r="C790" s="178"/>
      <c r="D790" s="178"/>
      <c r="E790" s="178"/>
      <c r="F790" s="178"/>
      <c r="G790" s="178"/>
      <c r="H790" s="178"/>
    </row>
    <row r="791" spans="1:8" ht="12.75">
      <c r="A791" s="178"/>
      <c r="B791" s="178"/>
      <c r="C791" s="178"/>
      <c r="D791" s="178"/>
      <c r="E791" s="178"/>
      <c r="F791" s="178"/>
      <c r="G791" s="178"/>
      <c r="H791" s="178"/>
    </row>
    <row r="792" spans="1:8" ht="12.75">
      <c r="A792" s="178"/>
      <c r="B792" s="178"/>
      <c r="C792" s="178"/>
      <c r="D792" s="178"/>
      <c r="E792" s="178"/>
      <c r="F792" s="178"/>
      <c r="G792" s="178"/>
      <c r="H792" s="178"/>
    </row>
    <row r="793" spans="1:8" ht="12.75">
      <c r="A793" s="178"/>
      <c r="B793" s="178"/>
      <c r="C793" s="178"/>
      <c r="D793" s="178"/>
      <c r="E793" s="178"/>
      <c r="F793" s="178"/>
      <c r="G793" s="178"/>
      <c r="H793" s="178"/>
    </row>
    <row r="794" spans="1:8" ht="12.75">
      <c r="A794" s="178"/>
      <c r="B794" s="178"/>
      <c r="C794" s="178"/>
      <c r="D794" s="178"/>
      <c r="E794" s="178"/>
      <c r="F794" s="178"/>
      <c r="G794" s="178"/>
      <c r="H794" s="178"/>
    </row>
    <row r="795" spans="1:8" ht="12.75">
      <c r="A795" s="178"/>
      <c r="B795" s="178"/>
      <c r="C795" s="178"/>
      <c r="D795" s="178"/>
      <c r="E795" s="178"/>
      <c r="F795" s="178"/>
      <c r="G795" s="178"/>
      <c r="H795" s="178"/>
    </row>
    <row r="796" spans="1:8" ht="12.75">
      <c r="A796" s="178"/>
      <c r="B796" s="178"/>
      <c r="C796" s="178"/>
      <c r="D796" s="178"/>
      <c r="E796" s="178"/>
      <c r="F796" s="178"/>
      <c r="G796" s="178"/>
      <c r="H796" s="178"/>
    </row>
    <row r="797" spans="1:8" ht="12.75">
      <c r="A797" s="178"/>
      <c r="B797" s="178"/>
      <c r="C797" s="178"/>
      <c r="D797" s="178"/>
      <c r="E797" s="178"/>
      <c r="F797" s="178"/>
      <c r="G797" s="178"/>
      <c r="H797" s="178"/>
    </row>
    <row r="798" spans="1:8" ht="12.75">
      <c r="A798" s="178"/>
      <c r="B798" s="178"/>
      <c r="C798" s="178"/>
      <c r="D798" s="178"/>
      <c r="E798" s="178"/>
      <c r="F798" s="178"/>
      <c r="G798" s="178"/>
      <c r="H798" s="178"/>
    </row>
    <row r="799" spans="1:8" ht="12.75">
      <c r="A799" s="178"/>
      <c r="B799" s="178"/>
      <c r="C799" s="178"/>
      <c r="D799" s="178"/>
      <c r="E799" s="178"/>
      <c r="F799" s="178"/>
      <c r="G799" s="178"/>
      <c r="H799" s="178"/>
    </row>
    <row r="800" spans="1:8" ht="12.75">
      <c r="A800" s="178"/>
      <c r="B800" s="178"/>
      <c r="C800" s="178"/>
      <c r="D800" s="178"/>
      <c r="E800" s="178"/>
      <c r="F800" s="178"/>
      <c r="G800" s="178"/>
      <c r="H800" s="178"/>
    </row>
    <row r="801" spans="1:8" ht="12.75">
      <c r="A801" s="178"/>
      <c r="B801" s="178"/>
      <c r="C801" s="178"/>
      <c r="D801" s="178"/>
      <c r="E801" s="178"/>
      <c r="F801" s="178"/>
      <c r="G801" s="178"/>
      <c r="H801" s="178"/>
    </row>
    <row r="802" spans="1:8" ht="12.75">
      <c r="A802" s="178"/>
      <c r="B802" s="178"/>
      <c r="C802" s="178"/>
      <c r="D802" s="178"/>
      <c r="E802" s="178"/>
      <c r="F802" s="178"/>
      <c r="G802" s="178"/>
      <c r="H802" s="178"/>
    </row>
    <row r="803" spans="1:8" ht="12.75">
      <c r="A803" s="178"/>
      <c r="B803" s="178"/>
      <c r="C803" s="178"/>
      <c r="D803" s="178"/>
      <c r="E803" s="178"/>
      <c r="F803" s="178"/>
      <c r="G803" s="178"/>
      <c r="H803" s="178"/>
    </row>
    <row r="804" spans="1:8" ht="12.75">
      <c r="A804" s="178"/>
      <c r="B804" s="178"/>
      <c r="C804" s="178"/>
      <c r="D804" s="178"/>
      <c r="E804" s="178"/>
      <c r="F804" s="178"/>
      <c r="G804" s="178"/>
      <c r="H804" s="178"/>
    </row>
    <row r="805" spans="1:8" ht="12.75">
      <c r="A805" s="178"/>
      <c r="B805" s="178"/>
      <c r="C805" s="178"/>
      <c r="D805" s="178"/>
      <c r="E805" s="178"/>
      <c r="F805" s="178"/>
      <c r="G805" s="178"/>
      <c r="H805" s="178"/>
    </row>
    <row r="806" spans="1:8" ht="12.75">
      <c r="A806" s="178"/>
      <c r="B806" s="178"/>
      <c r="C806" s="178"/>
      <c r="D806" s="178"/>
      <c r="E806" s="178"/>
      <c r="F806" s="178"/>
      <c r="G806" s="178"/>
      <c r="H806" s="178"/>
    </row>
    <row r="807" spans="1:8" ht="12.75">
      <c r="A807" s="178"/>
      <c r="B807" s="178"/>
      <c r="C807" s="178"/>
      <c r="D807" s="178"/>
      <c r="E807" s="178"/>
      <c r="F807" s="178"/>
      <c r="G807" s="178"/>
      <c r="H807" s="178"/>
    </row>
    <row r="808" spans="1:8" ht="12.75">
      <c r="A808" s="178"/>
      <c r="B808" s="178"/>
      <c r="C808" s="178"/>
      <c r="D808" s="178"/>
      <c r="E808" s="178"/>
      <c r="F808" s="178"/>
      <c r="G808" s="178"/>
      <c r="H808" s="178"/>
    </row>
    <row r="809" spans="1:8" ht="12.75">
      <c r="A809" s="178"/>
      <c r="B809" s="178"/>
      <c r="C809" s="178"/>
      <c r="D809" s="178"/>
      <c r="E809" s="178"/>
      <c r="F809" s="178"/>
      <c r="G809" s="178"/>
      <c r="H809" s="178"/>
    </row>
    <row r="810" spans="1:8" ht="12.75">
      <c r="A810" s="178"/>
      <c r="B810" s="178"/>
      <c r="C810" s="178"/>
      <c r="D810" s="178"/>
      <c r="E810" s="178"/>
      <c r="F810" s="178"/>
      <c r="G810" s="178"/>
      <c r="H810" s="178"/>
    </row>
    <row r="811" spans="1:8" ht="12.75">
      <c r="A811" s="178"/>
      <c r="B811" s="178"/>
      <c r="C811" s="178"/>
      <c r="D811" s="178"/>
      <c r="E811" s="178"/>
      <c r="F811" s="178"/>
      <c r="G811" s="178"/>
      <c r="H811" s="178"/>
    </row>
    <row r="812" spans="1:8" ht="12.75">
      <c r="A812" s="178"/>
      <c r="B812" s="178"/>
      <c r="C812" s="178"/>
      <c r="D812" s="178"/>
      <c r="E812" s="178"/>
      <c r="F812" s="178"/>
      <c r="G812" s="178"/>
      <c r="H812" s="178"/>
    </row>
    <row r="813" spans="1:8" ht="12.75">
      <c r="A813" s="178"/>
      <c r="B813" s="178"/>
      <c r="C813" s="178"/>
      <c r="D813" s="178"/>
      <c r="E813" s="178"/>
      <c r="F813" s="178"/>
      <c r="G813" s="178"/>
      <c r="H813" s="178"/>
    </row>
    <row r="814" spans="1:8" ht="12.75">
      <c r="A814" s="178"/>
      <c r="B814" s="178"/>
      <c r="C814" s="178"/>
      <c r="D814" s="178"/>
      <c r="E814" s="178"/>
      <c r="F814" s="178"/>
      <c r="G814" s="178"/>
      <c r="H814" s="178"/>
    </row>
    <row r="815" spans="1:8" ht="12.75">
      <c r="A815" s="178"/>
      <c r="B815" s="178"/>
      <c r="C815" s="178"/>
      <c r="D815" s="178"/>
      <c r="E815" s="178"/>
      <c r="F815" s="178"/>
      <c r="G815" s="178"/>
      <c r="H815" s="178"/>
    </row>
    <row r="816" spans="1:8" ht="12.75">
      <c r="A816" s="178"/>
      <c r="B816" s="178"/>
      <c r="C816" s="178"/>
      <c r="D816" s="178"/>
      <c r="E816" s="178"/>
      <c r="F816" s="178"/>
      <c r="G816" s="178"/>
      <c r="H816" s="178"/>
    </row>
    <row r="817" spans="1:8" ht="12.75">
      <c r="A817" s="178"/>
      <c r="B817" s="178"/>
      <c r="C817" s="178"/>
      <c r="D817" s="178"/>
      <c r="E817" s="178"/>
      <c r="F817" s="178"/>
      <c r="G817" s="178"/>
      <c r="H817" s="178"/>
    </row>
    <row r="818" spans="1:8" ht="12.75">
      <c r="A818" s="178"/>
      <c r="B818" s="178"/>
      <c r="C818" s="178"/>
      <c r="D818" s="178"/>
      <c r="E818" s="178"/>
      <c r="F818" s="178"/>
      <c r="G818" s="178"/>
      <c r="H818" s="178"/>
    </row>
    <row r="819" spans="1:8" ht="12.75">
      <c r="A819" s="178"/>
      <c r="B819" s="178"/>
      <c r="C819" s="178"/>
      <c r="D819" s="178"/>
      <c r="E819" s="178"/>
      <c r="F819" s="178"/>
      <c r="G819" s="178"/>
      <c r="H819" s="178"/>
    </row>
    <row r="820" spans="1:8" ht="12.75">
      <c r="A820" s="178"/>
      <c r="B820" s="178"/>
      <c r="C820" s="178"/>
      <c r="D820" s="178"/>
      <c r="E820" s="178"/>
      <c r="F820" s="178"/>
      <c r="G820" s="178"/>
      <c r="H820" s="178"/>
    </row>
    <row r="821" spans="1:8" ht="12.75">
      <c r="A821" s="178"/>
      <c r="B821" s="178"/>
      <c r="C821" s="178"/>
      <c r="D821" s="178"/>
      <c r="E821" s="178"/>
      <c r="F821" s="178"/>
      <c r="G821" s="178"/>
      <c r="H821" s="178"/>
    </row>
    <row r="822" spans="1:8" ht="12.75">
      <c r="A822" s="178"/>
      <c r="B822" s="178"/>
      <c r="C822" s="178"/>
      <c r="D822" s="178"/>
      <c r="E822" s="178"/>
      <c r="F822" s="178"/>
      <c r="G822" s="178"/>
      <c r="H822" s="178"/>
    </row>
    <row r="823" spans="1:8" ht="12.75">
      <c r="A823" s="178"/>
      <c r="B823" s="178"/>
      <c r="C823" s="178"/>
      <c r="D823" s="178"/>
      <c r="E823" s="178"/>
      <c r="F823" s="178"/>
      <c r="G823" s="178"/>
      <c r="H823" s="178"/>
    </row>
    <row r="824" spans="1:8" ht="12.75">
      <c r="A824" s="178"/>
      <c r="B824" s="178"/>
      <c r="C824" s="178"/>
      <c r="D824" s="178"/>
      <c r="E824" s="178"/>
      <c r="F824" s="178"/>
      <c r="G824" s="178"/>
      <c r="H824" s="178"/>
    </row>
    <row r="825" spans="1:8" ht="12.75">
      <c r="A825" s="178"/>
      <c r="B825" s="178"/>
      <c r="C825" s="178"/>
      <c r="D825" s="178"/>
      <c r="E825" s="178"/>
      <c r="F825" s="178"/>
      <c r="G825" s="178"/>
      <c r="H825" s="178"/>
    </row>
    <row r="826" spans="1:8" ht="12.75">
      <c r="A826" s="178"/>
      <c r="B826" s="178"/>
      <c r="C826" s="178"/>
      <c r="D826" s="178"/>
      <c r="E826" s="178"/>
      <c r="F826" s="178"/>
      <c r="G826" s="178"/>
      <c r="H826" s="178"/>
    </row>
    <row r="827" spans="1:8" ht="12.75">
      <c r="A827" s="178"/>
      <c r="B827" s="178"/>
      <c r="C827" s="178"/>
      <c r="D827" s="178"/>
      <c r="E827" s="178"/>
      <c r="F827" s="178"/>
      <c r="G827" s="178"/>
      <c r="H827" s="178"/>
    </row>
    <row r="828" spans="1:8" ht="12.75">
      <c r="A828" s="178"/>
      <c r="B828" s="178"/>
      <c r="C828" s="178"/>
      <c r="D828" s="178"/>
      <c r="E828" s="178"/>
      <c r="F828" s="178"/>
      <c r="G828" s="178"/>
      <c r="H828" s="178"/>
    </row>
    <row r="829" spans="1:8" ht="12.75">
      <c r="A829" s="178"/>
      <c r="B829" s="178"/>
      <c r="C829" s="178"/>
      <c r="D829" s="178"/>
      <c r="E829" s="178"/>
      <c r="F829" s="178"/>
      <c r="G829" s="178"/>
      <c r="H829" s="178"/>
    </row>
    <row r="830" spans="1:8" ht="12.75">
      <c r="A830" s="178"/>
      <c r="B830" s="178"/>
      <c r="C830" s="178"/>
      <c r="D830" s="178"/>
      <c r="E830" s="178"/>
      <c r="F830" s="178"/>
      <c r="G830" s="178"/>
      <c r="H830" s="178"/>
    </row>
    <row r="831" spans="1:8" ht="12.75">
      <c r="A831" s="178"/>
      <c r="B831" s="178"/>
      <c r="C831" s="178"/>
      <c r="D831" s="178"/>
      <c r="E831" s="178"/>
      <c r="F831" s="178"/>
      <c r="G831" s="178"/>
      <c r="H831" s="178"/>
    </row>
    <row r="832" spans="1:8" ht="12.75">
      <c r="A832" s="178"/>
      <c r="B832" s="178"/>
      <c r="C832" s="178"/>
      <c r="D832" s="178"/>
      <c r="E832" s="178"/>
      <c r="F832" s="178"/>
      <c r="G832" s="178"/>
      <c r="H832" s="178"/>
    </row>
    <row r="833" spans="1:8" ht="12.75">
      <c r="A833" s="178"/>
      <c r="B833" s="178"/>
      <c r="C833" s="178"/>
      <c r="D833" s="178"/>
      <c r="E833" s="178"/>
      <c r="F833" s="178"/>
      <c r="G833" s="178"/>
      <c r="H833" s="178"/>
    </row>
    <row r="834" spans="1:8" ht="12.75">
      <c r="A834" s="178"/>
      <c r="B834" s="178"/>
      <c r="C834" s="178"/>
      <c r="D834" s="178"/>
      <c r="E834" s="178"/>
      <c r="F834" s="178"/>
      <c r="G834" s="178"/>
      <c r="H834" s="178"/>
    </row>
    <row r="835" spans="1:8" ht="12.75">
      <c r="A835" s="178"/>
      <c r="B835" s="178"/>
      <c r="C835" s="178"/>
      <c r="D835" s="178"/>
      <c r="E835" s="178"/>
      <c r="F835" s="178"/>
      <c r="G835" s="178"/>
      <c r="H835" s="178"/>
    </row>
    <row r="836" spans="1:8" ht="12.75">
      <c r="A836" s="178"/>
      <c r="B836" s="178"/>
      <c r="C836" s="178"/>
      <c r="D836" s="178"/>
      <c r="E836" s="178"/>
      <c r="F836" s="178"/>
      <c r="G836" s="178"/>
      <c r="H836" s="178"/>
    </row>
    <row r="837" spans="1:8" ht="12.75">
      <c r="A837" s="178"/>
      <c r="B837" s="178"/>
      <c r="C837" s="178"/>
      <c r="D837" s="178"/>
      <c r="E837" s="178"/>
      <c r="F837" s="178"/>
      <c r="G837" s="178"/>
      <c r="H837" s="178"/>
    </row>
    <row r="838" spans="1:8" ht="12.75">
      <c r="A838" s="178"/>
      <c r="B838" s="178"/>
      <c r="C838" s="178"/>
      <c r="D838" s="178"/>
      <c r="E838" s="178"/>
      <c r="F838" s="178"/>
      <c r="G838" s="178"/>
      <c r="H838" s="178"/>
    </row>
    <row r="839" spans="1:8" ht="12.75">
      <c r="A839" s="178"/>
      <c r="B839" s="178"/>
      <c r="C839" s="178"/>
      <c r="D839" s="178"/>
      <c r="E839" s="178"/>
      <c r="F839" s="178"/>
      <c r="G839" s="178"/>
      <c r="H839" s="178"/>
    </row>
    <row r="840" spans="1:8" ht="12.75">
      <c r="A840" s="178"/>
      <c r="B840" s="178"/>
      <c r="C840" s="178"/>
      <c r="D840" s="178"/>
      <c r="E840" s="178"/>
      <c r="F840" s="178"/>
      <c r="G840" s="178"/>
      <c r="H840" s="178"/>
    </row>
    <row r="841" spans="1:8" ht="12.75">
      <c r="A841" s="178"/>
      <c r="B841" s="178"/>
      <c r="C841" s="178"/>
      <c r="D841" s="178"/>
      <c r="E841" s="178"/>
      <c r="F841" s="178"/>
      <c r="G841" s="178"/>
      <c r="H841" s="178"/>
    </row>
    <row r="842" spans="1:8" ht="12.75">
      <c r="A842" s="178"/>
      <c r="B842" s="178"/>
      <c r="C842" s="178"/>
      <c r="D842" s="178"/>
      <c r="E842" s="178"/>
      <c r="F842" s="178"/>
      <c r="G842" s="178"/>
      <c r="H842" s="178"/>
    </row>
    <row r="843" spans="1:8" ht="12.75">
      <c r="A843" s="178"/>
      <c r="B843" s="178"/>
      <c r="C843" s="178"/>
      <c r="D843" s="178"/>
      <c r="E843" s="178"/>
      <c r="F843" s="178"/>
      <c r="G843" s="178"/>
      <c r="H843" s="178"/>
    </row>
    <row r="844" spans="1:8" ht="12.75">
      <c r="A844" s="178"/>
      <c r="B844" s="178"/>
      <c r="C844" s="178"/>
      <c r="D844" s="178"/>
      <c r="E844" s="178"/>
      <c r="F844" s="178"/>
      <c r="G844" s="178"/>
      <c r="H844" s="178"/>
    </row>
    <row r="845" spans="1:8" ht="12.75">
      <c r="A845" s="178"/>
      <c r="B845" s="178"/>
      <c r="C845" s="178"/>
      <c r="D845" s="178"/>
      <c r="E845" s="178"/>
      <c r="F845" s="178"/>
      <c r="G845" s="178"/>
      <c r="H845" s="178"/>
    </row>
    <row r="846" spans="1:8" ht="12.75">
      <c r="A846" s="178"/>
      <c r="B846" s="178"/>
      <c r="C846" s="178"/>
      <c r="D846" s="178"/>
      <c r="E846" s="178"/>
      <c r="F846" s="178"/>
      <c r="G846" s="178"/>
      <c r="H846" s="178"/>
    </row>
    <row r="847" spans="1:8" ht="12.75">
      <c r="A847" s="178"/>
      <c r="B847" s="178"/>
      <c r="C847" s="178"/>
      <c r="D847" s="178"/>
      <c r="E847" s="178"/>
      <c r="F847" s="178"/>
      <c r="G847" s="178"/>
      <c r="H847" s="178"/>
    </row>
    <row r="848" spans="1:8" ht="12.75">
      <c r="A848" s="178"/>
      <c r="B848" s="178"/>
      <c r="C848" s="178"/>
      <c r="D848" s="178"/>
      <c r="E848" s="178"/>
      <c r="F848" s="178"/>
      <c r="G848" s="178"/>
      <c r="H848" s="178"/>
    </row>
    <row r="849" spans="1:8" ht="12.75">
      <c r="A849" s="178"/>
      <c r="B849" s="178"/>
      <c r="C849" s="178"/>
      <c r="D849" s="178"/>
      <c r="E849" s="178"/>
      <c r="F849" s="178"/>
      <c r="G849" s="178"/>
      <c r="H849" s="178"/>
    </row>
    <row r="850" spans="1:8" ht="12.75">
      <c r="A850" s="178"/>
      <c r="B850" s="178"/>
      <c r="C850" s="178"/>
      <c r="D850" s="178"/>
      <c r="E850" s="178"/>
      <c r="F850" s="178"/>
      <c r="G850" s="178"/>
      <c r="H850" s="178"/>
    </row>
    <row r="851" spans="1:8" ht="12.75">
      <c r="A851" s="178"/>
      <c r="B851" s="178"/>
      <c r="C851" s="178"/>
      <c r="D851" s="178"/>
      <c r="E851" s="178"/>
      <c r="F851" s="178"/>
      <c r="G851" s="178"/>
      <c r="H851" s="178"/>
    </row>
    <row r="852" spans="1:8" ht="12.75">
      <c r="A852" s="178"/>
      <c r="B852" s="178"/>
      <c r="C852" s="178"/>
      <c r="D852" s="178"/>
      <c r="E852" s="178"/>
      <c r="F852" s="178"/>
      <c r="G852" s="178"/>
      <c r="H852" s="178"/>
    </row>
    <row r="853" spans="1:8" ht="12.75">
      <c r="A853" s="178"/>
      <c r="B853" s="178"/>
      <c r="C853" s="178"/>
      <c r="D853" s="178"/>
      <c r="E853" s="178"/>
      <c r="F853" s="178"/>
      <c r="G853" s="178"/>
      <c r="H853" s="178"/>
    </row>
    <row r="854" spans="1:8" ht="12.75">
      <c r="A854" s="178"/>
      <c r="B854" s="178"/>
      <c r="C854" s="178"/>
      <c r="D854" s="178"/>
      <c r="E854" s="178"/>
      <c r="F854" s="178"/>
      <c r="G854" s="178"/>
      <c r="H854" s="178"/>
    </row>
    <row r="855" spans="1:8" ht="12.75">
      <c r="A855" s="178"/>
      <c r="B855" s="178"/>
      <c r="C855" s="178"/>
      <c r="D855" s="178"/>
      <c r="E855" s="178"/>
      <c r="F855" s="178"/>
      <c r="G855" s="178"/>
      <c r="H855" s="178"/>
    </row>
    <row r="856" spans="1:8" ht="12.75">
      <c r="A856" s="178"/>
      <c r="B856" s="178"/>
      <c r="C856" s="178"/>
      <c r="D856" s="178"/>
      <c r="E856" s="178"/>
      <c r="F856" s="178"/>
      <c r="G856" s="178"/>
      <c r="H856" s="178"/>
    </row>
    <row r="857" spans="1:8" ht="12.75">
      <c r="A857" s="178"/>
      <c r="B857" s="178"/>
      <c r="C857" s="178"/>
      <c r="D857" s="178"/>
      <c r="E857" s="178"/>
      <c r="F857" s="178"/>
      <c r="G857" s="178"/>
      <c r="H857" s="178"/>
    </row>
    <row r="858" spans="1:8" ht="12.75">
      <c r="A858" s="178"/>
      <c r="B858" s="178"/>
      <c r="C858" s="178"/>
      <c r="D858" s="178"/>
      <c r="E858" s="178"/>
      <c r="F858" s="178"/>
      <c r="G858" s="178"/>
      <c r="H858" s="178"/>
    </row>
    <row r="859" spans="1:8" ht="12.75">
      <c r="A859" s="178"/>
      <c r="B859" s="178"/>
      <c r="C859" s="178"/>
      <c r="D859" s="178"/>
      <c r="E859" s="178"/>
      <c r="F859" s="178"/>
      <c r="G859" s="178"/>
      <c r="H859" s="178"/>
    </row>
    <row r="860" spans="1:8" ht="12.75">
      <c r="A860" s="178"/>
      <c r="B860" s="178"/>
      <c r="C860" s="178"/>
      <c r="D860" s="178"/>
      <c r="E860" s="178"/>
      <c r="F860" s="178"/>
      <c r="G860" s="178"/>
      <c r="H860" s="178"/>
    </row>
    <row r="861" spans="1:8" ht="12.75">
      <c r="A861" s="178"/>
      <c r="B861" s="178"/>
      <c r="C861" s="178"/>
      <c r="D861" s="178"/>
      <c r="E861" s="178"/>
      <c r="F861" s="178"/>
      <c r="G861" s="178"/>
      <c r="H861" s="178"/>
    </row>
    <row r="862" spans="1:8" ht="12.75">
      <c r="A862" s="178"/>
      <c r="B862" s="178"/>
      <c r="C862" s="178"/>
      <c r="D862" s="178"/>
      <c r="E862" s="178"/>
      <c r="F862" s="178"/>
      <c r="G862" s="178"/>
      <c r="H862" s="178"/>
    </row>
    <row r="863" spans="1:8" ht="12.75">
      <c r="A863" s="178"/>
      <c r="B863" s="178"/>
      <c r="C863" s="178"/>
      <c r="D863" s="178"/>
      <c r="E863" s="178"/>
      <c r="F863" s="178"/>
      <c r="G863" s="178"/>
      <c r="H863" s="178"/>
    </row>
    <row r="864" spans="1:8" ht="12.75">
      <c r="A864" s="178"/>
      <c r="B864" s="178"/>
      <c r="C864" s="178"/>
      <c r="D864" s="178"/>
      <c r="E864" s="178"/>
      <c r="F864" s="178"/>
      <c r="G864" s="178"/>
      <c r="H864" s="178"/>
    </row>
    <row r="865" spans="1:8" ht="12.75">
      <c r="A865" s="178"/>
      <c r="B865" s="178"/>
      <c r="C865" s="178"/>
      <c r="D865" s="178"/>
      <c r="E865" s="178"/>
      <c r="F865" s="178"/>
      <c r="G865" s="178"/>
      <c r="H865" s="178"/>
    </row>
    <row r="866" spans="1:8" ht="12.75">
      <c r="A866" s="178"/>
      <c r="B866" s="178"/>
      <c r="C866" s="178"/>
      <c r="D866" s="178"/>
      <c r="E866" s="178"/>
      <c r="F866" s="178"/>
      <c r="G866" s="178"/>
      <c r="H866" s="178"/>
    </row>
    <row r="867" spans="1:8" ht="12.75">
      <c r="A867" s="178"/>
      <c r="B867" s="178"/>
      <c r="C867" s="178"/>
      <c r="D867" s="178"/>
      <c r="E867" s="178"/>
      <c r="F867" s="178"/>
      <c r="G867" s="178"/>
      <c r="H867" s="178"/>
    </row>
    <row r="868" spans="1:8" ht="12.75">
      <c r="A868" s="178"/>
      <c r="B868" s="178"/>
      <c r="C868" s="178"/>
      <c r="D868" s="178"/>
      <c r="E868" s="178"/>
      <c r="F868" s="178"/>
      <c r="G868" s="178"/>
      <c r="H868" s="178"/>
    </row>
    <row r="869" spans="1:8" ht="12.75">
      <c r="A869" s="178"/>
      <c r="B869" s="178"/>
      <c r="C869" s="178"/>
      <c r="D869" s="178"/>
      <c r="E869" s="178"/>
      <c r="F869" s="178"/>
      <c r="G869" s="178"/>
      <c r="H869" s="178"/>
    </row>
    <row r="870" spans="1:8" ht="12.75">
      <c r="A870" s="178"/>
      <c r="B870" s="178"/>
      <c r="C870" s="178"/>
      <c r="D870" s="178"/>
      <c r="E870" s="178"/>
      <c r="F870" s="178"/>
      <c r="G870" s="178"/>
      <c r="H870" s="178"/>
    </row>
    <row r="871" spans="1:8" ht="12.75">
      <c r="A871" s="178"/>
      <c r="B871" s="178"/>
      <c r="C871" s="178"/>
      <c r="D871" s="178"/>
      <c r="E871" s="178"/>
      <c r="F871" s="178"/>
      <c r="G871" s="178"/>
      <c r="H871" s="178"/>
    </row>
    <row r="872" spans="1:8" ht="12.75">
      <c r="A872" s="178"/>
      <c r="B872" s="178"/>
      <c r="C872" s="178"/>
      <c r="D872" s="178"/>
      <c r="E872" s="178"/>
      <c r="F872" s="178"/>
      <c r="G872" s="178"/>
      <c r="H872" s="178"/>
    </row>
    <row r="873" spans="1:8" ht="12.75">
      <c r="A873" s="178"/>
      <c r="B873" s="178"/>
      <c r="C873" s="178"/>
      <c r="D873" s="178"/>
      <c r="E873" s="178"/>
      <c r="F873" s="178"/>
      <c r="G873" s="178"/>
      <c r="H873" s="178"/>
    </row>
    <row r="874" spans="1:8" ht="12.75">
      <c r="A874" s="178"/>
      <c r="B874" s="178"/>
      <c r="C874" s="178"/>
      <c r="D874" s="178"/>
      <c r="E874" s="178"/>
      <c r="F874" s="178"/>
      <c r="G874" s="178"/>
      <c r="H874" s="178"/>
    </row>
    <row r="875" spans="1:8" ht="12.75">
      <c r="A875" s="178"/>
      <c r="B875" s="178"/>
      <c r="C875" s="178"/>
      <c r="D875" s="178"/>
      <c r="E875" s="178"/>
      <c r="F875" s="178"/>
      <c r="G875" s="178"/>
      <c r="H875" s="178"/>
    </row>
    <row r="876" spans="1:8" ht="12.75">
      <c r="A876" s="178"/>
      <c r="B876" s="178"/>
      <c r="C876" s="178"/>
      <c r="D876" s="178"/>
      <c r="E876" s="178"/>
      <c r="F876" s="178"/>
      <c r="G876" s="178"/>
      <c r="H876" s="178"/>
    </row>
    <row r="877" spans="1:8" ht="12.75">
      <c r="A877" s="178"/>
      <c r="B877" s="178"/>
      <c r="C877" s="178"/>
      <c r="D877" s="178"/>
      <c r="E877" s="178"/>
      <c r="F877" s="178"/>
      <c r="G877" s="178"/>
      <c r="H877" s="178"/>
    </row>
    <row r="878" spans="1:8" ht="12.75">
      <c r="A878" s="178"/>
      <c r="B878" s="178"/>
      <c r="C878" s="178"/>
      <c r="D878" s="178"/>
      <c r="E878" s="178"/>
      <c r="F878" s="178"/>
      <c r="G878" s="178"/>
      <c r="H878" s="178"/>
    </row>
    <row r="879" spans="1:8" ht="12.75">
      <c r="A879" s="178"/>
      <c r="B879" s="178"/>
      <c r="C879" s="178"/>
      <c r="D879" s="178"/>
      <c r="E879" s="178"/>
      <c r="F879" s="178"/>
      <c r="G879" s="178"/>
      <c r="H879" s="178"/>
    </row>
    <row r="880" spans="1:8" ht="12.75">
      <c r="A880" s="178"/>
      <c r="B880" s="178"/>
      <c r="C880" s="178"/>
      <c r="D880" s="178"/>
      <c r="E880" s="178"/>
      <c r="F880" s="178"/>
      <c r="G880" s="178"/>
      <c r="H880" s="178"/>
    </row>
    <row r="881" spans="1:8" ht="12.75">
      <c r="A881" s="178"/>
      <c r="B881" s="178"/>
      <c r="C881" s="178"/>
      <c r="D881" s="178"/>
      <c r="E881" s="178"/>
      <c r="F881" s="178"/>
      <c r="G881" s="178"/>
      <c r="H881" s="178"/>
    </row>
    <row r="882" spans="1:8" ht="12.75">
      <c r="A882" s="178"/>
      <c r="B882" s="178"/>
      <c r="C882" s="178"/>
      <c r="D882" s="178"/>
      <c r="E882" s="178"/>
      <c r="F882" s="178"/>
      <c r="G882" s="178"/>
      <c r="H882" s="178"/>
    </row>
    <row r="883" spans="1:8" ht="12.75">
      <c r="A883" s="178"/>
      <c r="B883" s="178"/>
      <c r="C883" s="178"/>
      <c r="D883" s="178"/>
      <c r="E883" s="178"/>
      <c r="F883" s="178"/>
      <c r="G883" s="178"/>
      <c r="H883" s="178"/>
    </row>
    <row r="884" spans="1:8" ht="12.75">
      <c r="A884" s="178"/>
      <c r="B884" s="178"/>
      <c r="C884" s="178"/>
      <c r="D884" s="178"/>
      <c r="E884" s="178"/>
      <c r="F884" s="178"/>
      <c r="G884" s="178"/>
      <c r="H884" s="178"/>
    </row>
    <row r="885" spans="1:8" ht="12.75">
      <c r="A885" s="178"/>
      <c r="B885" s="178"/>
      <c r="C885" s="178"/>
      <c r="D885" s="178"/>
      <c r="E885" s="178"/>
      <c r="F885" s="178"/>
      <c r="G885" s="178"/>
      <c r="H885" s="178"/>
    </row>
    <row r="886" spans="1:8" ht="12.75">
      <c r="A886" s="178"/>
      <c r="B886" s="178"/>
      <c r="C886" s="178"/>
      <c r="D886" s="178"/>
      <c r="E886" s="178"/>
      <c r="F886" s="178"/>
      <c r="G886" s="178"/>
      <c r="H886" s="178"/>
    </row>
    <row r="887" spans="1:8" ht="12.75">
      <c r="A887" s="178"/>
      <c r="B887" s="178"/>
      <c r="C887" s="178"/>
      <c r="D887" s="178"/>
      <c r="E887" s="178"/>
      <c r="F887" s="178"/>
      <c r="G887" s="178"/>
      <c r="H887" s="178"/>
    </row>
    <row r="888" spans="1:8" ht="12.75">
      <c r="A888" s="178"/>
      <c r="B888" s="178"/>
      <c r="C888" s="178"/>
      <c r="D888" s="178"/>
      <c r="E888" s="178"/>
      <c r="F888" s="178"/>
      <c r="G888" s="178"/>
      <c r="H888" s="178"/>
    </row>
    <row r="889" spans="1:8" ht="12.75">
      <c r="A889" s="178"/>
      <c r="B889" s="178"/>
      <c r="C889" s="178"/>
      <c r="D889" s="178"/>
      <c r="E889" s="178"/>
      <c r="F889" s="178"/>
      <c r="G889" s="178"/>
      <c r="H889" s="178"/>
    </row>
    <row r="890" spans="1:8" ht="12.75">
      <c r="A890" s="178"/>
      <c r="B890" s="178"/>
      <c r="C890" s="178"/>
      <c r="D890" s="178"/>
      <c r="E890" s="178"/>
      <c r="F890" s="178"/>
      <c r="G890" s="178"/>
      <c r="H890" s="178"/>
    </row>
    <row r="891" spans="1:8" ht="12.75">
      <c r="A891" s="178"/>
      <c r="B891" s="178"/>
      <c r="C891" s="178"/>
      <c r="D891" s="178"/>
      <c r="E891" s="178"/>
      <c r="F891" s="178"/>
      <c r="G891" s="178"/>
      <c r="H891" s="178"/>
    </row>
    <row r="892" spans="1:8" ht="12.75">
      <c r="A892" s="178"/>
      <c r="B892" s="178"/>
      <c r="C892" s="178"/>
      <c r="D892" s="178"/>
      <c r="E892" s="178"/>
      <c r="F892" s="178"/>
      <c r="G892" s="178"/>
      <c r="H892" s="178"/>
    </row>
    <row r="893" spans="1:8" ht="12.75">
      <c r="A893" s="178"/>
      <c r="B893" s="178"/>
      <c r="C893" s="178"/>
      <c r="D893" s="178"/>
      <c r="E893" s="178"/>
      <c r="F893" s="178"/>
      <c r="G893" s="178"/>
      <c r="H893" s="178"/>
    </row>
    <row r="894" spans="1:8" ht="12.75">
      <c r="A894" s="178"/>
      <c r="B894" s="178"/>
      <c r="C894" s="178"/>
      <c r="D894" s="178"/>
      <c r="E894" s="178"/>
      <c r="F894" s="178"/>
      <c r="G894" s="178"/>
      <c r="H894" s="178"/>
    </row>
    <row r="895" spans="1:8" ht="12.75">
      <c r="A895" s="178"/>
      <c r="B895" s="178"/>
      <c r="C895" s="178"/>
      <c r="D895" s="178"/>
      <c r="E895" s="178"/>
      <c r="F895" s="178"/>
      <c r="G895" s="178"/>
      <c r="H895" s="178"/>
    </row>
    <row r="896" spans="1:8" ht="12.75">
      <c r="A896" s="178"/>
      <c r="B896" s="178"/>
      <c r="C896" s="178"/>
      <c r="D896" s="178"/>
      <c r="E896" s="178"/>
      <c r="F896" s="178"/>
      <c r="G896" s="178"/>
      <c r="H896" s="178"/>
    </row>
    <row r="897" spans="1:8" ht="12.75">
      <c r="A897" s="178"/>
      <c r="B897" s="178"/>
      <c r="C897" s="178"/>
      <c r="D897" s="178"/>
      <c r="E897" s="178"/>
      <c r="F897" s="178"/>
      <c r="G897" s="178"/>
      <c r="H897" s="178"/>
    </row>
    <row r="898" spans="1:8" ht="12.75">
      <c r="A898" s="178"/>
      <c r="B898" s="178"/>
      <c r="C898" s="178"/>
      <c r="D898" s="178"/>
      <c r="E898" s="178"/>
      <c r="F898" s="178"/>
      <c r="G898" s="178"/>
      <c r="H898" s="178"/>
    </row>
    <row r="899" spans="1:8" ht="12.75">
      <c r="A899" s="178"/>
      <c r="B899" s="178"/>
      <c r="C899" s="178"/>
      <c r="D899" s="178"/>
      <c r="E899" s="178"/>
      <c r="F899" s="178"/>
      <c r="G899" s="178"/>
      <c r="H899" s="178"/>
    </row>
    <row r="900" spans="1:8" ht="12.75">
      <c r="A900" s="178"/>
      <c r="B900" s="178"/>
      <c r="C900" s="178"/>
      <c r="D900" s="178"/>
      <c r="E900" s="178"/>
      <c r="F900" s="178"/>
      <c r="G900" s="178"/>
      <c r="H900" s="178"/>
    </row>
    <row r="901" spans="1:8" ht="12.75">
      <c r="A901" s="178"/>
      <c r="B901" s="178"/>
      <c r="C901" s="178"/>
      <c r="D901" s="178"/>
      <c r="E901" s="178"/>
      <c r="F901" s="178"/>
      <c r="G901" s="178"/>
      <c r="H901" s="178"/>
    </row>
    <row r="902" spans="1:8" ht="12.75">
      <c r="A902" s="178"/>
      <c r="B902" s="178"/>
      <c r="C902" s="178"/>
      <c r="D902" s="178"/>
      <c r="E902" s="178"/>
      <c r="F902" s="178"/>
      <c r="G902" s="178"/>
      <c r="H902" s="178"/>
    </row>
    <row r="903" spans="1:8" ht="12.75">
      <c r="A903" s="178"/>
      <c r="B903" s="178"/>
      <c r="C903" s="178"/>
      <c r="D903" s="178"/>
      <c r="E903" s="178"/>
      <c r="F903" s="178"/>
      <c r="G903" s="178"/>
      <c r="H903" s="178"/>
    </row>
    <row r="904" spans="1:8" ht="12.75">
      <c r="A904" s="178"/>
      <c r="B904" s="178"/>
      <c r="C904" s="178"/>
      <c r="D904" s="178"/>
      <c r="E904" s="178"/>
      <c r="F904" s="178"/>
      <c r="G904" s="178"/>
      <c r="H904" s="178"/>
    </row>
    <row r="905" spans="1:8" ht="12.75">
      <c r="A905" s="178"/>
      <c r="B905" s="178"/>
      <c r="C905" s="178"/>
      <c r="D905" s="178"/>
      <c r="E905" s="178"/>
      <c r="F905" s="178"/>
      <c r="G905" s="178"/>
      <c r="H905" s="178"/>
    </row>
    <row r="906" spans="1:8" ht="12.75">
      <c r="A906" s="178"/>
      <c r="B906" s="178"/>
      <c r="C906" s="178"/>
      <c r="D906" s="178"/>
      <c r="E906" s="178"/>
      <c r="F906" s="178"/>
      <c r="G906" s="178"/>
      <c r="H906" s="178"/>
    </row>
    <row r="907" spans="1:8" ht="12.75">
      <c r="A907" s="178"/>
      <c r="B907" s="178"/>
      <c r="C907" s="178"/>
      <c r="D907" s="178"/>
      <c r="E907" s="178"/>
      <c r="F907" s="178"/>
      <c r="G907" s="178"/>
      <c r="H907" s="178"/>
    </row>
    <row r="908" spans="1:8" ht="12.75">
      <c r="A908" s="178"/>
      <c r="B908" s="178"/>
      <c r="C908" s="178"/>
      <c r="D908" s="178"/>
      <c r="E908" s="178"/>
      <c r="F908" s="178"/>
      <c r="G908" s="178"/>
      <c r="H908" s="178"/>
    </row>
    <row r="909" spans="1:8" ht="12.75">
      <c r="A909" s="178"/>
      <c r="B909" s="178"/>
      <c r="C909" s="178"/>
      <c r="D909" s="178"/>
      <c r="E909" s="178"/>
      <c r="F909" s="178"/>
      <c r="G909" s="178"/>
      <c r="H909" s="178"/>
    </row>
    <row r="910" spans="1:8" ht="12.75">
      <c r="A910" s="178"/>
      <c r="B910" s="178"/>
      <c r="C910" s="178"/>
      <c r="D910" s="178"/>
      <c r="E910" s="178"/>
      <c r="F910" s="178"/>
      <c r="G910" s="178"/>
      <c r="H910" s="178"/>
    </row>
    <row r="911" spans="1:8" ht="12.75">
      <c r="A911" s="178"/>
      <c r="B911" s="178"/>
      <c r="C911" s="178"/>
      <c r="D911" s="178"/>
      <c r="E911" s="178"/>
      <c r="F911" s="178"/>
      <c r="G911" s="178"/>
      <c r="H911" s="178"/>
    </row>
    <row r="912" spans="1:8" ht="12.75">
      <c r="A912" s="178"/>
      <c r="B912" s="178"/>
      <c r="C912" s="178"/>
      <c r="D912" s="178"/>
      <c r="E912" s="178"/>
      <c r="F912" s="178"/>
      <c r="G912" s="178"/>
      <c r="H912" s="178"/>
    </row>
    <row r="913" spans="1:8" ht="12.75">
      <c r="A913" s="178"/>
      <c r="B913" s="178"/>
      <c r="C913" s="178"/>
      <c r="D913" s="178"/>
      <c r="E913" s="178"/>
      <c r="F913" s="178"/>
      <c r="G913" s="178"/>
      <c r="H913" s="178"/>
    </row>
    <row r="914" spans="1:8" ht="12.75">
      <c r="A914" s="178"/>
      <c r="B914" s="178"/>
      <c r="C914" s="178"/>
      <c r="D914" s="178"/>
      <c r="E914" s="178"/>
      <c r="F914" s="178"/>
      <c r="G914" s="178"/>
      <c r="H914" s="178"/>
    </row>
    <row r="915" spans="1:8" ht="12.75">
      <c r="A915" s="178"/>
      <c r="B915" s="178"/>
      <c r="C915" s="178"/>
      <c r="D915" s="178"/>
      <c r="E915" s="178"/>
      <c r="F915" s="178"/>
      <c r="G915" s="178"/>
      <c r="H915" s="178"/>
    </row>
    <row r="916" spans="1:8" ht="12.75">
      <c r="A916" s="178"/>
      <c r="B916" s="178"/>
      <c r="C916" s="178"/>
      <c r="D916" s="178"/>
      <c r="E916" s="178"/>
      <c r="F916" s="178"/>
      <c r="G916" s="178"/>
      <c r="H916" s="178"/>
    </row>
    <row r="917" spans="1:8" ht="12.75">
      <c r="A917" s="178"/>
      <c r="B917" s="178"/>
      <c r="C917" s="178"/>
      <c r="D917" s="178"/>
      <c r="E917" s="178"/>
      <c r="F917" s="178"/>
      <c r="G917" s="178"/>
      <c r="H917" s="178"/>
    </row>
    <row r="918" spans="1:8" ht="12.75">
      <c r="A918" s="178"/>
      <c r="B918" s="178"/>
      <c r="C918" s="178"/>
      <c r="D918" s="178"/>
      <c r="E918" s="178"/>
      <c r="F918" s="178"/>
      <c r="G918" s="178"/>
      <c r="H918" s="178"/>
    </row>
    <row r="919" spans="1:8" ht="12.75">
      <c r="A919" s="178"/>
      <c r="B919" s="178"/>
      <c r="C919" s="178"/>
      <c r="D919" s="178"/>
      <c r="E919" s="178"/>
      <c r="F919" s="178"/>
      <c r="G919" s="178"/>
      <c r="H919" s="178"/>
    </row>
    <row r="920" spans="1:8" ht="12.75">
      <c r="A920" s="178"/>
      <c r="B920" s="178"/>
      <c r="C920" s="178"/>
      <c r="D920" s="178"/>
      <c r="E920" s="178"/>
      <c r="F920" s="178"/>
      <c r="G920" s="178"/>
      <c r="H920" s="178"/>
    </row>
    <row r="921" spans="1:8" ht="12.75">
      <c r="A921" s="178"/>
      <c r="B921" s="178"/>
      <c r="C921" s="178"/>
      <c r="D921" s="178"/>
      <c r="E921" s="178"/>
      <c r="F921" s="178"/>
      <c r="G921" s="178"/>
      <c r="H921" s="178"/>
    </row>
    <row r="922" spans="1:8" ht="12.75">
      <c r="A922" s="178"/>
      <c r="B922" s="178"/>
      <c r="C922" s="178"/>
      <c r="D922" s="178"/>
      <c r="E922" s="178"/>
      <c r="F922" s="178"/>
      <c r="G922" s="178"/>
      <c r="H922" s="178"/>
    </row>
    <row r="923" spans="1:8" ht="12.75">
      <c r="A923" s="178"/>
      <c r="B923" s="178"/>
      <c r="C923" s="178"/>
      <c r="D923" s="178"/>
      <c r="E923" s="178"/>
      <c r="F923" s="178"/>
      <c r="G923" s="178"/>
      <c r="H923" s="178"/>
    </row>
    <row r="924" spans="1:8" ht="12.75">
      <c r="A924" s="178"/>
      <c r="B924" s="178"/>
      <c r="C924" s="178"/>
      <c r="D924" s="178"/>
      <c r="E924" s="178"/>
      <c r="F924" s="178"/>
      <c r="G924" s="178"/>
      <c r="H924" s="178"/>
    </row>
    <row r="925" spans="1:8" ht="12.75">
      <c r="A925" s="178"/>
      <c r="B925" s="178"/>
      <c r="C925" s="178"/>
      <c r="D925" s="178"/>
      <c r="E925" s="178"/>
      <c r="F925" s="178"/>
      <c r="G925" s="178"/>
      <c r="H925" s="178"/>
    </row>
    <row r="926" spans="1:8" ht="12.75">
      <c r="A926" s="178"/>
      <c r="B926" s="178"/>
      <c r="C926" s="178"/>
      <c r="D926" s="178"/>
      <c r="E926" s="178"/>
      <c r="F926" s="178"/>
      <c r="G926" s="178"/>
      <c r="H926" s="178"/>
    </row>
    <row r="927" spans="1:8" ht="12.75">
      <c r="A927" s="178"/>
      <c r="B927" s="178"/>
      <c r="C927" s="178"/>
      <c r="D927" s="178"/>
      <c r="E927" s="178"/>
      <c r="F927" s="178"/>
      <c r="G927" s="178"/>
      <c r="H927" s="178"/>
    </row>
    <row r="928" spans="1:8" ht="12.75">
      <c r="A928" s="178"/>
      <c r="B928" s="178"/>
      <c r="C928" s="178"/>
      <c r="D928" s="178"/>
      <c r="E928" s="178"/>
      <c r="F928" s="178"/>
      <c r="G928" s="178"/>
      <c r="H928" s="178"/>
    </row>
    <row r="929" spans="1:8" ht="12.75">
      <c r="A929" s="178"/>
      <c r="B929" s="178"/>
      <c r="C929" s="178"/>
      <c r="D929" s="178"/>
      <c r="E929" s="178"/>
      <c r="F929" s="178"/>
      <c r="G929" s="178"/>
      <c r="H929" s="178"/>
    </row>
    <row r="930" spans="1:8" ht="12.75">
      <c r="A930" s="178"/>
      <c r="B930" s="178"/>
      <c r="C930" s="178"/>
      <c r="D930" s="178"/>
      <c r="E930" s="178"/>
      <c r="F930" s="178"/>
      <c r="G930" s="178"/>
      <c r="H930" s="178"/>
    </row>
    <row r="931" spans="1:8" ht="12.75">
      <c r="A931" s="178"/>
      <c r="B931" s="178"/>
      <c r="C931" s="178"/>
      <c r="D931" s="178"/>
      <c r="E931" s="178"/>
      <c r="F931" s="178"/>
      <c r="G931" s="178"/>
      <c r="H931" s="178"/>
    </row>
    <row r="932" spans="1:8" ht="12.75">
      <c r="A932" s="178"/>
      <c r="B932" s="178"/>
      <c r="C932" s="178"/>
      <c r="D932" s="178"/>
      <c r="E932" s="178"/>
      <c r="F932" s="178"/>
      <c r="G932" s="178"/>
      <c r="H932" s="178"/>
    </row>
    <row r="933" spans="1:8" ht="12.75">
      <c r="A933" s="178"/>
      <c r="B933" s="178"/>
      <c r="C933" s="178"/>
      <c r="D933" s="178"/>
      <c r="E933" s="178"/>
      <c r="F933" s="178"/>
      <c r="G933" s="178"/>
      <c r="H933" s="178"/>
    </row>
    <row r="934" spans="1:8" ht="12.75">
      <c r="A934" s="178"/>
      <c r="B934" s="178"/>
      <c r="C934" s="178"/>
      <c r="D934" s="178"/>
      <c r="E934" s="178"/>
      <c r="F934" s="178"/>
      <c r="G934" s="178"/>
      <c r="H934" s="178"/>
    </row>
    <row r="935" spans="1:8" ht="12.75">
      <c r="A935" s="178"/>
      <c r="B935" s="178"/>
      <c r="C935" s="178"/>
      <c r="D935" s="178"/>
      <c r="E935" s="178"/>
      <c r="F935" s="178"/>
      <c r="G935" s="178"/>
      <c r="H935" s="178"/>
    </row>
    <row r="936" spans="1:8" ht="12.75">
      <c r="A936" s="178"/>
      <c r="B936" s="178"/>
      <c r="C936" s="178"/>
      <c r="D936" s="178"/>
      <c r="E936" s="178"/>
      <c r="F936" s="178"/>
      <c r="G936" s="178"/>
      <c r="H936" s="178"/>
    </row>
    <row r="937" spans="1:8" ht="12.75">
      <c r="A937" s="178"/>
      <c r="B937" s="178"/>
      <c r="C937" s="178"/>
      <c r="D937" s="178"/>
      <c r="E937" s="178"/>
      <c r="F937" s="178"/>
      <c r="G937" s="178"/>
      <c r="H937" s="178"/>
    </row>
    <row r="938" spans="1:8" ht="12.75">
      <c r="A938" s="178"/>
      <c r="B938" s="178"/>
      <c r="C938" s="178"/>
      <c r="D938" s="178"/>
      <c r="E938" s="178"/>
      <c r="F938" s="178"/>
      <c r="G938" s="178"/>
      <c r="H938" s="178"/>
    </row>
    <row r="939" spans="1:8" ht="12.75">
      <c r="A939" s="178"/>
      <c r="B939" s="178"/>
      <c r="C939" s="178"/>
      <c r="D939" s="178"/>
      <c r="E939" s="178"/>
      <c r="F939" s="178"/>
      <c r="G939" s="178"/>
      <c r="H939" s="178"/>
    </row>
    <row r="940" spans="1:8" ht="12.75">
      <c r="A940" s="178"/>
      <c r="B940" s="178"/>
      <c r="C940" s="178"/>
      <c r="D940" s="178"/>
      <c r="E940" s="178"/>
      <c r="F940" s="178"/>
      <c r="G940" s="178"/>
      <c r="H940" s="178"/>
    </row>
    <row r="941" spans="1:8" ht="12.75">
      <c r="A941" s="178"/>
      <c r="B941" s="178"/>
      <c r="C941" s="178"/>
      <c r="D941" s="178"/>
      <c r="E941" s="178"/>
      <c r="F941" s="178"/>
      <c r="G941" s="178"/>
      <c r="H941" s="178"/>
    </row>
    <row r="942" spans="1:8" ht="12.75">
      <c r="A942" s="178"/>
      <c r="B942" s="178"/>
      <c r="C942" s="178"/>
      <c r="D942" s="178"/>
      <c r="E942" s="178"/>
      <c r="F942" s="178"/>
      <c r="G942" s="178"/>
      <c r="H942" s="178"/>
    </row>
    <row r="943" spans="1:8" ht="12.75">
      <c r="A943" s="178"/>
      <c r="B943" s="178"/>
      <c r="C943" s="178"/>
      <c r="D943" s="178"/>
      <c r="E943" s="178"/>
      <c r="F943" s="178"/>
      <c r="G943" s="178"/>
      <c r="H943" s="178"/>
    </row>
    <row r="944" spans="1:8" ht="12.75">
      <c r="A944" s="178"/>
      <c r="B944" s="178"/>
      <c r="C944" s="178"/>
      <c r="D944" s="178"/>
      <c r="E944" s="178"/>
      <c r="F944" s="178"/>
      <c r="G944" s="178"/>
      <c r="H944" s="178"/>
    </row>
    <row r="945" spans="1:8" ht="12.75">
      <c r="A945" s="178"/>
      <c r="B945" s="178"/>
      <c r="C945" s="178"/>
      <c r="D945" s="178"/>
      <c r="E945" s="178"/>
      <c r="F945" s="178"/>
      <c r="G945" s="178"/>
      <c r="H945" s="178"/>
    </row>
    <row r="946" spans="1:8" ht="12.75">
      <c r="A946" s="178"/>
      <c r="B946" s="178"/>
      <c r="C946" s="178"/>
      <c r="D946" s="178"/>
      <c r="E946" s="178"/>
      <c r="F946" s="178"/>
      <c r="G946" s="178"/>
      <c r="H946" s="178"/>
    </row>
    <row r="947" spans="1:8" ht="12.75">
      <c r="A947" s="178"/>
      <c r="B947" s="178"/>
      <c r="C947" s="178"/>
      <c r="D947" s="178"/>
      <c r="E947" s="178"/>
      <c r="F947" s="178"/>
      <c r="G947" s="178"/>
      <c r="H947" s="178"/>
    </row>
    <row r="948" spans="1:8" ht="12.75">
      <c r="A948" s="178"/>
      <c r="B948" s="178"/>
      <c r="C948" s="178"/>
      <c r="D948" s="178"/>
      <c r="E948" s="178"/>
      <c r="F948" s="178"/>
      <c r="G948" s="178"/>
      <c r="H948" s="178"/>
    </row>
    <row r="949" spans="1:8" ht="12.75">
      <c r="A949" s="178"/>
      <c r="B949" s="178"/>
      <c r="C949" s="178"/>
      <c r="D949" s="178"/>
      <c r="E949" s="178"/>
      <c r="F949" s="178"/>
      <c r="G949" s="178"/>
      <c r="H949" s="178"/>
    </row>
    <row r="950" spans="1:8" ht="12.75">
      <c r="A950" s="178"/>
      <c r="B950" s="178"/>
      <c r="C950" s="178"/>
      <c r="D950" s="178"/>
      <c r="E950" s="178"/>
      <c r="F950" s="178"/>
      <c r="G950" s="178"/>
      <c r="H950" s="178"/>
    </row>
    <row r="951" spans="1:8" ht="12.75">
      <c r="A951" s="178"/>
      <c r="B951" s="178"/>
      <c r="C951" s="178"/>
      <c r="D951" s="178"/>
      <c r="E951" s="178"/>
      <c r="F951" s="178"/>
      <c r="G951" s="178"/>
      <c r="H951" s="178"/>
    </row>
    <row r="952" spans="1:8" ht="12.75">
      <c r="A952" s="178"/>
      <c r="B952" s="178"/>
      <c r="C952" s="178"/>
      <c r="D952" s="178"/>
      <c r="E952" s="178"/>
      <c r="F952" s="178"/>
      <c r="G952" s="178"/>
      <c r="H952" s="178"/>
    </row>
    <row r="953" spans="1:8" ht="12.75">
      <c r="A953" s="178"/>
      <c r="B953" s="178"/>
      <c r="C953" s="178"/>
      <c r="D953" s="178"/>
      <c r="E953" s="178"/>
      <c r="F953" s="178"/>
      <c r="G953" s="178"/>
      <c r="H953" s="178"/>
    </row>
    <row r="954" spans="1:8" ht="12.75">
      <c r="A954" s="178"/>
      <c r="B954" s="178"/>
      <c r="C954" s="178"/>
      <c r="D954" s="178"/>
      <c r="E954" s="178"/>
      <c r="F954" s="178"/>
      <c r="G954" s="178"/>
      <c r="H954" s="178"/>
    </row>
    <row r="955" spans="1:8" ht="12.75">
      <c r="A955" s="178"/>
      <c r="B955" s="178"/>
      <c r="C955" s="178"/>
      <c r="D955" s="178"/>
      <c r="E955" s="178"/>
      <c r="F955" s="178"/>
      <c r="G955" s="178"/>
      <c r="H955" s="178"/>
    </row>
    <row r="956" spans="1:8" ht="12.75">
      <c r="A956" s="178"/>
      <c r="B956" s="178"/>
      <c r="C956" s="178"/>
      <c r="D956" s="178"/>
      <c r="E956" s="178"/>
      <c r="F956" s="178"/>
      <c r="G956" s="178"/>
      <c r="H956" s="178"/>
    </row>
    <row r="957" spans="1:8" ht="12.75">
      <c r="A957" s="178"/>
      <c r="B957" s="178"/>
      <c r="C957" s="178"/>
      <c r="D957" s="178"/>
      <c r="E957" s="178"/>
      <c r="F957" s="178"/>
      <c r="G957" s="178"/>
      <c r="H957" s="178"/>
    </row>
    <row r="958" spans="1:8" ht="12.75">
      <c r="A958" s="178"/>
      <c r="B958" s="178"/>
      <c r="C958" s="178"/>
      <c r="D958" s="178"/>
      <c r="E958" s="178"/>
      <c r="F958" s="178"/>
      <c r="G958" s="178"/>
      <c r="H958" s="178"/>
    </row>
    <row r="959" spans="1:8" ht="12.75">
      <c r="A959" s="178"/>
      <c r="B959" s="178"/>
      <c r="C959" s="178"/>
      <c r="D959" s="178"/>
      <c r="E959" s="178"/>
      <c r="F959" s="178"/>
      <c r="G959" s="178"/>
      <c r="H959" s="178"/>
    </row>
    <row r="960" spans="1:8" ht="12.75">
      <c r="A960" s="178"/>
      <c r="B960" s="178"/>
      <c r="C960" s="178"/>
      <c r="D960" s="178"/>
      <c r="E960" s="178"/>
      <c r="F960" s="178"/>
      <c r="G960" s="178"/>
      <c r="H960" s="178"/>
    </row>
    <row r="961" spans="1:8" ht="12.75">
      <c r="A961" s="178"/>
      <c r="B961" s="178"/>
      <c r="C961" s="178"/>
      <c r="D961" s="178"/>
      <c r="E961" s="178"/>
      <c r="F961" s="178"/>
      <c r="G961" s="178"/>
      <c r="H961" s="178"/>
    </row>
    <row r="962" spans="1:8" ht="12.75">
      <c r="A962" s="178"/>
      <c r="B962" s="178"/>
      <c r="C962" s="178"/>
      <c r="D962" s="178"/>
      <c r="E962" s="178"/>
      <c r="F962" s="178"/>
      <c r="G962" s="178"/>
      <c r="H962" s="178"/>
    </row>
    <row r="963" spans="1:8" ht="12.75">
      <c r="A963" s="178"/>
      <c r="B963" s="178"/>
      <c r="C963" s="178"/>
      <c r="D963" s="178"/>
      <c r="E963" s="178"/>
      <c r="F963" s="178"/>
      <c r="G963" s="178"/>
      <c r="H963" s="178"/>
    </row>
    <row r="964" spans="1:8" ht="12.75">
      <c r="A964" s="178"/>
      <c r="B964" s="178"/>
      <c r="C964" s="178"/>
      <c r="D964" s="178"/>
      <c r="E964" s="178"/>
      <c r="F964" s="178"/>
      <c r="G964" s="178"/>
      <c r="H964" s="178"/>
    </row>
    <row r="965" spans="1:8" ht="12.75">
      <c r="A965" s="178"/>
      <c r="B965" s="178"/>
      <c r="C965" s="178"/>
      <c r="D965" s="178"/>
      <c r="E965" s="178"/>
      <c r="F965" s="178"/>
      <c r="G965" s="178"/>
      <c r="H965" s="178"/>
    </row>
    <row r="966" spans="1:8" ht="12.75">
      <c r="A966" s="178"/>
      <c r="B966" s="178"/>
      <c r="C966" s="178"/>
      <c r="D966" s="178"/>
      <c r="E966" s="178"/>
      <c r="F966" s="178"/>
      <c r="G966" s="178"/>
      <c r="H966" s="178"/>
    </row>
    <row r="967" spans="1:8" ht="12.75">
      <c r="A967" s="178"/>
      <c r="B967" s="178"/>
      <c r="C967" s="178"/>
      <c r="D967" s="178"/>
      <c r="E967" s="178"/>
      <c r="F967" s="178"/>
      <c r="G967" s="178"/>
      <c r="H967" s="178"/>
    </row>
    <row r="968" spans="1:8" ht="12.75">
      <c r="A968" s="178"/>
      <c r="B968" s="178"/>
      <c r="C968" s="178"/>
      <c r="D968" s="178"/>
      <c r="E968" s="178"/>
      <c r="F968" s="178"/>
      <c r="G968" s="178"/>
      <c r="H968" s="178"/>
    </row>
    <row r="969" spans="1:8" ht="12.75">
      <c r="A969" s="178"/>
      <c r="B969" s="178"/>
      <c r="C969" s="178"/>
      <c r="D969" s="178"/>
      <c r="E969" s="178"/>
      <c r="F969" s="178"/>
      <c r="G969" s="178"/>
      <c r="H969" s="178"/>
    </row>
    <row r="970" spans="1:8" ht="12.75">
      <c r="A970" s="178"/>
      <c r="B970" s="178"/>
      <c r="C970" s="178"/>
      <c r="D970" s="178"/>
      <c r="E970" s="178"/>
      <c r="F970" s="178"/>
      <c r="G970" s="178"/>
      <c r="H970" s="178"/>
    </row>
    <row r="971" spans="1:8" ht="12.75">
      <c r="A971" s="178"/>
      <c r="B971" s="178"/>
      <c r="C971" s="178"/>
      <c r="D971" s="178"/>
      <c r="E971" s="178"/>
      <c r="F971" s="178"/>
      <c r="G971" s="178"/>
      <c r="H971" s="178"/>
    </row>
    <row r="972" spans="1:8" ht="12.75">
      <c r="A972" s="178"/>
      <c r="B972" s="178"/>
      <c r="C972" s="178"/>
      <c r="D972" s="178"/>
      <c r="E972" s="178"/>
      <c r="F972" s="178"/>
      <c r="G972" s="178"/>
      <c r="H972" s="178"/>
    </row>
    <row r="973" spans="1:8" ht="12.75">
      <c r="A973" s="178"/>
      <c r="B973" s="178"/>
      <c r="C973" s="178"/>
      <c r="D973" s="178"/>
      <c r="E973" s="178"/>
      <c r="F973" s="178"/>
      <c r="G973" s="178"/>
      <c r="H973" s="178"/>
    </row>
    <row r="974" spans="1:8" ht="12.75">
      <c r="A974" s="178"/>
      <c r="B974" s="178"/>
      <c r="C974" s="178"/>
      <c r="D974" s="178"/>
      <c r="E974" s="178"/>
      <c r="F974" s="178"/>
      <c r="G974" s="178"/>
      <c r="H974" s="178"/>
    </row>
    <row r="975" spans="1:8" ht="12.75">
      <c r="A975" s="178"/>
      <c r="B975" s="178"/>
      <c r="C975" s="178"/>
      <c r="D975" s="178"/>
      <c r="E975" s="178"/>
      <c r="F975" s="178"/>
      <c r="G975" s="178"/>
      <c r="H975" s="178"/>
    </row>
    <row r="976" spans="1:8" ht="12.75">
      <c r="A976" s="178"/>
      <c r="B976" s="178"/>
      <c r="C976" s="178"/>
      <c r="D976" s="178"/>
      <c r="E976" s="178"/>
      <c r="F976" s="178"/>
      <c r="G976" s="178"/>
      <c r="H976" s="178"/>
    </row>
    <row r="977" spans="1:8" ht="12.75">
      <c r="A977" s="178"/>
      <c r="B977" s="178"/>
      <c r="C977" s="178"/>
      <c r="D977" s="178"/>
      <c r="E977" s="178"/>
      <c r="F977" s="178"/>
      <c r="G977" s="178"/>
      <c r="H977" s="178"/>
    </row>
    <row r="978" spans="1:8" ht="12.75">
      <c r="A978" s="178"/>
      <c r="B978" s="178"/>
      <c r="C978" s="178"/>
      <c r="D978" s="178"/>
      <c r="E978" s="178"/>
      <c r="F978" s="178"/>
      <c r="G978" s="178"/>
      <c r="H978" s="178"/>
    </row>
    <row r="979" spans="1:8" ht="12.75">
      <c r="A979" s="178"/>
      <c r="B979" s="178"/>
      <c r="C979" s="178"/>
      <c r="D979" s="178"/>
      <c r="E979" s="178"/>
      <c r="F979" s="178"/>
      <c r="G979" s="178"/>
      <c r="H979" s="178"/>
    </row>
    <row r="980" spans="1:8" ht="12.75">
      <c r="A980" s="178"/>
      <c r="B980" s="178"/>
      <c r="C980" s="178"/>
      <c r="D980" s="178"/>
      <c r="E980" s="178"/>
      <c r="F980" s="178"/>
      <c r="G980" s="178"/>
      <c r="H980" s="178"/>
    </row>
    <row r="981" spans="1:8" ht="12.75">
      <c r="A981" s="178"/>
      <c r="B981" s="178"/>
      <c r="C981" s="178"/>
      <c r="D981" s="178"/>
      <c r="E981" s="178"/>
      <c r="F981" s="178"/>
      <c r="G981" s="178"/>
      <c r="H981" s="178"/>
    </row>
    <row r="982" spans="1:8" ht="12.75">
      <c r="A982" s="178"/>
      <c r="B982" s="178"/>
      <c r="C982" s="178"/>
      <c r="D982" s="178"/>
      <c r="E982" s="178"/>
      <c r="F982" s="178"/>
      <c r="G982" s="178"/>
      <c r="H982" s="178"/>
    </row>
  </sheetData>
  <mergeCells count="41">
    <mergeCell ref="J84:K84"/>
    <mergeCell ref="A60:A63"/>
    <mergeCell ref="J16:J17"/>
    <mergeCell ref="J18:J21"/>
    <mergeCell ref="I2:K2"/>
    <mergeCell ref="A5:B5"/>
    <mergeCell ref="I5:K5"/>
    <mergeCell ref="A6:A11"/>
    <mergeCell ref="I6:I24"/>
    <mergeCell ref="J6:J11"/>
    <mergeCell ref="J12:J15"/>
    <mergeCell ref="J24:K24"/>
    <mergeCell ref="J40:J43"/>
    <mergeCell ref="J44:K44"/>
    <mergeCell ref="I28:I44"/>
    <mergeCell ref="I48:I63"/>
    <mergeCell ref="A12:A15"/>
    <mergeCell ref="A16:A17"/>
    <mergeCell ref="A48:A53"/>
    <mergeCell ref="A54:A57"/>
    <mergeCell ref="A58:A59"/>
    <mergeCell ref="J60:J63"/>
    <mergeCell ref="J64:K64"/>
    <mergeCell ref="I67:K67"/>
    <mergeCell ref="J68:J73"/>
    <mergeCell ref="D6:D11"/>
    <mergeCell ref="D12:D17"/>
    <mergeCell ref="I68:I83"/>
    <mergeCell ref="J74:J77"/>
    <mergeCell ref="J78:J79"/>
    <mergeCell ref="J80:J83"/>
    <mergeCell ref="J38:J39"/>
    <mergeCell ref="I47:K47"/>
    <mergeCell ref="J48:J53"/>
    <mergeCell ref="J54:J57"/>
    <mergeCell ref="J58:J59"/>
    <mergeCell ref="J22:K22"/>
    <mergeCell ref="J23:K23"/>
    <mergeCell ref="I27:K27"/>
    <mergeCell ref="J28:J33"/>
    <mergeCell ref="J34:J37"/>
  </mergeCells>
  <phoneticPr fontId="86" type="noConversion"/>
  <conditionalFormatting sqref="L48:N59 AA51:AF51 AC59:AF63 AA63:AB63">
    <cfRule type="cellIs" dxfId="20" priority="2" operator="lessThanOrEqual">
      <formula>0</formula>
    </cfRule>
  </conditionalFormatting>
  <conditionalFormatting sqref="L68:AF83">
    <cfRule type="colorScale" priority="1">
      <colorScale>
        <cfvo type="formula" val="0"/>
        <cfvo type="formula" val="3"/>
        <cfvo type="formula" val="15"/>
        <color rgb="FF9FC5E8"/>
        <color rgb="FFFFFFFF"/>
        <color rgb="FFE67C73"/>
      </colorScale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99A9D"/>
    <outlinePr summaryBelow="0" summaryRight="0"/>
  </sheetPr>
  <dimension ref="A1:AG982"/>
  <sheetViews>
    <sheetView workbookViewId="0"/>
  </sheetViews>
  <sheetFormatPr defaultColWidth="14.42578125" defaultRowHeight="15.75" customHeight="1" outlineLevelRow="1"/>
  <cols>
    <col min="1" max="2" width="10.7109375" customWidth="1"/>
    <col min="3" max="3" width="13.140625" customWidth="1"/>
    <col min="4" max="4" width="12.140625" customWidth="1"/>
    <col min="5" max="8" width="10.7109375" customWidth="1"/>
    <col min="9" max="9" width="15.85546875" customWidth="1"/>
    <col min="12" max="20" width="14.42578125" hidden="1"/>
  </cols>
  <sheetData>
    <row r="1" spans="1:33" ht="15.75" customHeight="1">
      <c r="A1" s="178"/>
      <c r="B1" s="178"/>
      <c r="C1" s="178"/>
      <c r="D1" s="178"/>
      <c r="E1" s="178"/>
      <c r="F1" s="178"/>
      <c r="G1" s="178"/>
      <c r="H1" s="178"/>
      <c r="I1" s="179"/>
      <c r="J1" s="180"/>
      <c r="K1" s="180"/>
    </row>
    <row r="2" spans="1:33" ht="15.75" customHeight="1">
      <c r="A2" s="178"/>
      <c r="B2" s="178"/>
      <c r="C2" s="178"/>
      <c r="D2" s="178"/>
      <c r="E2" s="178"/>
      <c r="F2" s="178"/>
      <c r="G2" s="178"/>
      <c r="H2" s="178"/>
      <c r="I2" s="904" t="s">
        <v>91</v>
      </c>
      <c r="J2" s="905"/>
      <c r="K2" s="905"/>
      <c r="R2" s="182" t="s">
        <v>92</v>
      </c>
      <c r="W2" s="7" t="s">
        <v>93</v>
      </c>
      <c r="X2" s="183" t="s">
        <v>95</v>
      </c>
      <c r="Y2" s="184" t="s">
        <v>95</v>
      </c>
      <c r="Z2" s="184" t="s">
        <v>96</v>
      </c>
      <c r="AA2" s="7" t="s">
        <v>97</v>
      </c>
      <c r="AB2" s="7"/>
    </row>
    <row r="3" spans="1:33">
      <c r="A3" s="178"/>
      <c r="B3" s="178"/>
      <c r="C3" s="178"/>
      <c r="D3" s="178"/>
      <c r="E3" s="178"/>
      <c r="F3" s="178"/>
      <c r="G3" s="178"/>
      <c r="H3" s="178"/>
      <c r="I3" s="185"/>
      <c r="J3" s="186"/>
      <c r="K3" s="186" t="s">
        <v>98</v>
      </c>
      <c r="U3" s="7" t="s">
        <v>99</v>
      </c>
      <c r="W3" s="7">
        <v>2</v>
      </c>
      <c r="X3" s="7">
        <v>3</v>
      </c>
      <c r="Y3" s="7">
        <v>4</v>
      </c>
      <c r="Z3" s="7">
        <v>5</v>
      </c>
      <c r="AA3" s="7">
        <v>6</v>
      </c>
      <c r="AB3" s="7">
        <v>7</v>
      </c>
      <c r="AC3" s="7">
        <v>8</v>
      </c>
      <c r="AD3" s="7">
        <v>9</v>
      </c>
      <c r="AG3" s="7"/>
    </row>
    <row r="4" spans="1:33" ht="15.75" customHeight="1">
      <c r="A4" s="178"/>
      <c r="B4" s="178"/>
      <c r="C4" s="178"/>
      <c r="D4" s="178"/>
      <c r="E4" s="178"/>
      <c r="F4" s="178"/>
      <c r="G4" s="178"/>
      <c r="H4" s="178"/>
      <c r="I4" s="6">
        <v>1750</v>
      </c>
      <c r="J4" s="186"/>
      <c r="K4" s="186" t="s">
        <v>101</v>
      </c>
      <c r="R4" s="7" t="s">
        <v>102</v>
      </c>
      <c r="S4" s="7" t="s">
        <v>102</v>
      </c>
      <c r="U4" s="7" t="s">
        <v>103</v>
      </c>
      <c r="V4" s="7"/>
      <c r="W4" s="7">
        <v>5</v>
      </c>
      <c r="X4" s="7">
        <v>6</v>
      </c>
      <c r="Y4" s="7">
        <v>7</v>
      </c>
      <c r="Z4" s="7">
        <v>8</v>
      </c>
      <c r="AA4" s="7">
        <v>9</v>
      </c>
      <c r="AB4" s="7">
        <v>10</v>
      </c>
      <c r="AC4" s="7">
        <v>11</v>
      </c>
      <c r="AD4" s="7">
        <v>12</v>
      </c>
      <c r="AG4" s="7"/>
    </row>
    <row r="5" spans="1:33" ht="15.75" customHeight="1">
      <c r="A5" s="906" t="s">
        <v>6</v>
      </c>
      <c r="B5" s="860"/>
      <c r="C5" s="11" t="s">
        <v>7</v>
      </c>
      <c r="D5" s="11" t="s">
        <v>8</v>
      </c>
      <c r="E5" s="11" t="s">
        <v>9</v>
      </c>
      <c r="F5" s="13" t="s">
        <v>105</v>
      </c>
      <c r="G5" s="13" t="s">
        <v>11</v>
      </c>
      <c r="H5" s="13" t="s">
        <v>12</v>
      </c>
      <c r="I5" s="907" t="s">
        <v>13</v>
      </c>
      <c r="J5" s="879"/>
      <c r="K5" s="860"/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5" t="s">
        <v>23</v>
      </c>
      <c r="V5" s="15" t="s">
        <v>107</v>
      </c>
      <c r="W5" s="16" t="s">
        <v>25</v>
      </c>
      <c r="X5" s="14" t="s">
        <v>26</v>
      </c>
      <c r="Y5" s="14" t="s">
        <v>15</v>
      </c>
      <c r="Z5" s="14" t="s">
        <v>16</v>
      </c>
      <c r="AA5" s="14" t="s">
        <v>17</v>
      </c>
      <c r="AB5" s="14" t="s">
        <v>18</v>
      </c>
      <c r="AC5" s="16" t="s">
        <v>19</v>
      </c>
      <c r="AD5" s="187" t="s">
        <v>20</v>
      </c>
      <c r="AE5" s="18" t="s">
        <v>21</v>
      </c>
      <c r="AF5" s="18" t="s">
        <v>22</v>
      </c>
      <c r="AG5" s="7"/>
    </row>
    <row r="6" spans="1:33">
      <c r="A6" s="891" t="s">
        <v>27</v>
      </c>
      <c r="B6" s="188" t="s">
        <v>110</v>
      </c>
      <c r="C6" s="189">
        <v>0</v>
      </c>
      <c r="D6" s="898">
        <f>SUM(C6:C11)</f>
        <v>0</v>
      </c>
      <c r="E6" s="22">
        <f>D6/22</f>
        <v>0</v>
      </c>
      <c r="F6" s="23">
        <f t="shared" ref="F6:F17" si="0">AVERAGE(S28:U28)</f>
        <v>116.33333333333333</v>
      </c>
      <c r="G6" s="22">
        <v>576</v>
      </c>
      <c r="H6" s="22">
        <f t="shared" ref="H6:H17" si="1">AB6/6</f>
        <v>0</v>
      </c>
      <c r="I6" s="908" t="s">
        <v>28</v>
      </c>
      <c r="J6" s="891" t="s">
        <v>27</v>
      </c>
      <c r="K6" s="190" t="s">
        <v>110</v>
      </c>
      <c r="L6" s="28"/>
      <c r="M6" s="28"/>
      <c r="N6" s="28">
        <v>540</v>
      </c>
      <c r="O6" s="28">
        <v>282</v>
      </c>
      <c r="P6" s="28">
        <v>1080</v>
      </c>
      <c r="Q6" s="28">
        <v>540</v>
      </c>
      <c r="R6" s="28">
        <v>270</v>
      </c>
      <c r="S6" s="28"/>
      <c r="T6" s="28">
        <v>1620</v>
      </c>
      <c r="U6" s="191"/>
      <c r="V6" s="191"/>
      <c r="W6" s="192"/>
      <c r="X6" s="28"/>
      <c r="Y6" s="28"/>
      <c r="Z6" s="28"/>
      <c r="AA6" s="28"/>
      <c r="AB6" s="28">
        <v>0</v>
      </c>
      <c r="AC6" s="192"/>
      <c r="AD6" s="193"/>
      <c r="AE6" s="194"/>
      <c r="AF6" s="194"/>
      <c r="AG6" s="7"/>
    </row>
    <row r="7" spans="1:33">
      <c r="A7" s="865"/>
      <c r="B7" s="188">
        <v>1</v>
      </c>
      <c r="C7" s="189">
        <v>0</v>
      </c>
      <c r="D7" s="865"/>
      <c r="E7" s="22"/>
      <c r="F7" s="23">
        <f t="shared" si="0"/>
        <v>762</v>
      </c>
      <c r="G7" s="22">
        <v>432</v>
      </c>
      <c r="H7" s="22">
        <f t="shared" si="1"/>
        <v>0</v>
      </c>
      <c r="I7" s="869"/>
      <c r="J7" s="865"/>
      <c r="K7" s="190">
        <v>1</v>
      </c>
      <c r="L7" s="196">
        <v>2700</v>
      </c>
      <c r="M7" s="196"/>
      <c r="N7" s="196">
        <v>2160</v>
      </c>
      <c r="O7" s="196">
        <v>5400</v>
      </c>
      <c r="P7" s="196">
        <v>2970</v>
      </c>
      <c r="Q7" s="196">
        <v>2220</v>
      </c>
      <c r="R7" s="196">
        <v>1620</v>
      </c>
      <c r="S7" s="196"/>
      <c r="T7" s="196">
        <v>3780</v>
      </c>
      <c r="U7" s="191"/>
      <c r="V7" s="191"/>
      <c r="W7" s="192"/>
      <c r="X7" s="196"/>
      <c r="Y7" s="196"/>
      <c r="Z7" s="196"/>
      <c r="AA7" s="196"/>
      <c r="AB7" s="196">
        <v>0</v>
      </c>
      <c r="AC7" s="192"/>
      <c r="AD7" s="197"/>
      <c r="AE7" s="194"/>
      <c r="AF7" s="194"/>
      <c r="AG7" s="7"/>
    </row>
    <row r="8" spans="1:33">
      <c r="A8" s="865"/>
      <c r="B8" s="188" t="s">
        <v>119</v>
      </c>
      <c r="C8" s="189">
        <v>0</v>
      </c>
      <c r="D8" s="865"/>
      <c r="E8" s="22"/>
      <c r="F8" s="23">
        <f t="shared" si="0"/>
        <v>229</v>
      </c>
      <c r="G8" s="22">
        <v>600</v>
      </c>
      <c r="H8" s="22">
        <f t="shared" si="1"/>
        <v>0</v>
      </c>
      <c r="I8" s="869"/>
      <c r="J8" s="865"/>
      <c r="K8" s="190" t="s">
        <v>119</v>
      </c>
      <c r="L8" s="196">
        <v>2736</v>
      </c>
      <c r="M8" s="196"/>
      <c r="N8" s="196"/>
      <c r="O8" s="196"/>
      <c r="P8" s="196">
        <v>7140</v>
      </c>
      <c r="Q8" s="196"/>
      <c r="R8" s="196"/>
      <c r="S8" s="196">
        <v>3480</v>
      </c>
      <c r="T8" s="196">
        <v>3240</v>
      </c>
      <c r="U8" s="191"/>
      <c r="V8" s="191"/>
      <c r="W8" s="192"/>
      <c r="X8" s="198">
        <f>1620*4+192*4</f>
        <v>7248</v>
      </c>
      <c r="Y8" s="196"/>
      <c r="Z8" s="196"/>
      <c r="AA8" s="196"/>
      <c r="AB8" s="196">
        <v>0</v>
      </c>
      <c r="AC8" s="192"/>
      <c r="AD8" s="200"/>
      <c r="AE8" s="200"/>
      <c r="AF8" s="200"/>
      <c r="AG8" s="7"/>
    </row>
    <row r="9" spans="1:33">
      <c r="A9" s="865"/>
      <c r="B9" s="188">
        <v>2</v>
      </c>
      <c r="C9" s="189">
        <v>0</v>
      </c>
      <c r="D9" s="865"/>
      <c r="E9" s="22"/>
      <c r="F9" s="23">
        <f t="shared" si="0"/>
        <v>1318.6666666666667</v>
      </c>
      <c r="G9" s="22">
        <v>720</v>
      </c>
      <c r="H9" s="22">
        <f t="shared" si="1"/>
        <v>0</v>
      </c>
      <c r="I9" s="869"/>
      <c r="J9" s="865"/>
      <c r="K9" s="190">
        <v>2</v>
      </c>
      <c r="L9" s="196"/>
      <c r="M9" s="196"/>
      <c r="N9" s="196">
        <v>540</v>
      </c>
      <c r="O9" s="196"/>
      <c r="P9" s="196">
        <v>1620</v>
      </c>
      <c r="Q9" s="196">
        <v>1080</v>
      </c>
      <c r="R9" s="196">
        <v>1080</v>
      </c>
      <c r="S9" s="196"/>
      <c r="T9" s="196">
        <v>7830</v>
      </c>
      <c r="U9" s="191"/>
      <c r="V9" s="191"/>
      <c r="W9" s="192"/>
      <c r="X9" s="196"/>
      <c r="Y9" s="201">
        <f>5940-5940</f>
        <v>0</v>
      </c>
      <c r="Z9" s="196"/>
      <c r="AA9" s="196"/>
      <c r="AB9" s="196">
        <v>0</v>
      </c>
      <c r="AC9" s="192"/>
      <c r="AD9" s="197"/>
      <c r="AE9" s="194"/>
      <c r="AF9" s="194"/>
      <c r="AG9" s="7"/>
    </row>
    <row r="10" spans="1:33">
      <c r="A10" s="865"/>
      <c r="B10" s="188" t="s">
        <v>124</v>
      </c>
      <c r="C10" s="189">
        <v>0</v>
      </c>
      <c r="D10" s="865"/>
      <c r="E10" s="22"/>
      <c r="F10" s="23">
        <f t="shared" si="0"/>
        <v>601.66666666666663</v>
      </c>
      <c r="G10" s="22">
        <v>600</v>
      </c>
      <c r="H10" s="22">
        <f t="shared" si="1"/>
        <v>0</v>
      </c>
      <c r="I10" s="869"/>
      <c r="J10" s="865"/>
      <c r="K10" s="190" t="s">
        <v>124</v>
      </c>
      <c r="L10" s="196">
        <v>2472</v>
      </c>
      <c r="M10" s="196"/>
      <c r="N10" s="196"/>
      <c r="O10" s="196"/>
      <c r="P10" s="196">
        <v>6368</v>
      </c>
      <c r="Q10" s="196">
        <v>4548</v>
      </c>
      <c r="R10" s="196">
        <v>2152</v>
      </c>
      <c r="S10" s="196">
        <v>3680</v>
      </c>
      <c r="T10" s="196">
        <v>8196</v>
      </c>
      <c r="U10" s="191">
        <v>4840</v>
      </c>
      <c r="V10" s="191"/>
      <c r="W10" s="192"/>
      <c r="X10" s="196"/>
      <c r="Y10" s="196"/>
      <c r="Z10" s="196"/>
      <c r="AA10" s="196"/>
      <c r="AB10" s="196">
        <v>0</v>
      </c>
      <c r="AC10" s="192"/>
      <c r="AD10" s="197"/>
      <c r="AE10" s="194"/>
      <c r="AF10" s="194"/>
      <c r="AG10" s="7"/>
    </row>
    <row r="11" spans="1:33">
      <c r="A11" s="866"/>
      <c r="B11" s="188">
        <v>3</v>
      </c>
      <c r="C11" s="189">
        <v>0</v>
      </c>
      <c r="D11" s="866"/>
      <c r="E11" s="22"/>
      <c r="F11" s="23">
        <f t="shared" si="0"/>
        <v>253</v>
      </c>
      <c r="G11" s="22">
        <v>144</v>
      </c>
      <c r="H11" s="22">
        <f t="shared" si="1"/>
        <v>0</v>
      </c>
      <c r="I11" s="869"/>
      <c r="J11" s="866"/>
      <c r="K11" s="190">
        <v>3</v>
      </c>
      <c r="L11" s="196"/>
      <c r="M11" s="196"/>
      <c r="N11" s="196">
        <v>1620</v>
      </c>
      <c r="O11" s="196">
        <v>270</v>
      </c>
      <c r="P11" s="196"/>
      <c r="Q11" s="196">
        <v>540</v>
      </c>
      <c r="R11" s="196"/>
      <c r="S11" s="196"/>
      <c r="T11" s="202">
        <f>3780+810</f>
        <v>4590</v>
      </c>
      <c r="U11" s="191"/>
      <c r="V11" s="191"/>
      <c r="W11" s="192"/>
      <c r="X11" s="196"/>
      <c r="Y11" s="196"/>
      <c r="Z11" s="196"/>
      <c r="AA11" s="196"/>
      <c r="AB11" s="196">
        <v>0</v>
      </c>
      <c r="AC11" s="192"/>
      <c r="AD11" s="197"/>
      <c r="AE11" s="194"/>
      <c r="AF11" s="194"/>
      <c r="AG11" s="7"/>
    </row>
    <row r="12" spans="1:33">
      <c r="A12" s="892" t="s">
        <v>32</v>
      </c>
      <c r="B12" s="203" t="s">
        <v>110</v>
      </c>
      <c r="C12" s="204">
        <v>0</v>
      </c>
      <c r="D12" s="899">
        <f>SUM(C12:C17)</f>
        <v>0</v>
      </c>
      <c r="E12" s="22">
        <f>D12/25</f>
        <v>0</v>
      </c>
      <c r="F12" s="23">
        <f t="shared" si="0"/>
        <v>2476</v>
      </c>
      <c r="G12" s="22">
        <v>1248</v>
      </c>
      <c r="H12" s="22">
        <f t="shared" si="1"/>
        <v>0</v>
      </c>
      <c r="I12" s="869"/>
      <c r="J12" s="892" t="s">
        <v>32</v>
      </c>
      <c r="K12" s="205" t="s">
        <v>110</v>
      </c>
      <c r="L12" s="196">
        <v>4224</v>
      </c>
      <c r="M12" s="196">
        <v>14076</v>
      </c>
      <c r="N12" s="196">
        <v>10364</v>
      </c>
      <c r="O12" s="196">
        <v>25824</v>
      </c>
      <c r="P12" s="196">
        <v>17036</v>
      </c>
      <c r="Q12" s="196">
        <v>4304</v>
      </c>
      <c r="R12" s="196"/>
      <c r="S12" s="196">
        <v>29184</v>
      </c>
      <c r="T12" s="196"/>
      <c r="U12" s="201">
        <v>1536</v>
      </c>
      <c r="V12" s="191"/>
      <c r="W12" s="192"/>
      <c r="X12" s="196"/>
      <c r="Y12" s="196"/>
      <c r="Z12" s="196"/>
      <c r="AA12" s="196"/>
      <c r="AB12" s="196">
        <f t="shared" ref="AB12:AB15" si="2">96*4*$C12</f>
        <v>0</v>
      </c>
      <c r="AC12" s="192"/>
      <c r="AD12" s="197"/>
      <c r="AE12" s="194"/>
      <c r="AF12" s="194"/>
      <c r="AG12" s="7"/>
    </row>
    <row r="13" spans="1:33">
      <c r="A13" s="865"/>
      <c r="B13" s="203">
        <v>1</v>
      </c>
      <c r="C13" s="204">
        <v>0</v>
      </c>
      <c r="D13" s="865"/>
      <c r="E13" s="22"/>
      <c r="F13" s="23">
        <f t="shared" si="0"/>
        <v>4865.666666666667</v>
      </c>
      <c r="G13" s="22">
        <v>1248</v>
      </c>
      <c r="H13" s="22">
        <f t="shared" si="1"/>
        <v>0</v>
      </c>
      <c r="I13" s="869"/>
      <c r="J13" s="865"/>
      <c r="K13" s="205">
        <v>1</v>
      </c>
      <c r="L13" s="196">
        <v>32988</v>
      </c>
      <c r="M13" s="196">
        <v>4608</v>
      </c>
      <c r="N13" s="196">
        <v>22656</v>
      </c>
      <c r="O13" s="196">
        <v>83564</v>
      </c>
      <c r="P13" s="196">
        <v>23448</v>
      </c>
      <c r="Q13" s="196"/>
      <c r="R13" s="196"/>
      <c r="S13" s="196">
        <v>30528</v>
      </c>
      <c r="T13" s="196"/>
      <c r="U13" s="201">
        <v>10368</v>
      </c>
      <c r="V13" s="191"/>
      <c r="W13" s="192"/>
      <c r="X13" s="196"/>
      <c r="Y13" s="196"/>
      <c r="Z13" s="196"/>
      <c r="AA13" s="196"/>
      <c r="AB13" s="196">
        <f t="shared" si="2"/>
        <v>0</v>
      </c>
      <c r="AC13" s="192"/>
      <c r="AD13" s="197"/>
      <c r="AE13" s="194"/>
      <c r="AF13" s="194"/>
      <c r="AG13" s="7"/>
    </row>
    <row r="14" spans="1:33">
      <c r="A14" s="865"/>
      <c r="B14" s="203">
        <v>2</v>
      </c>
      <c r="C14" s="204">
        <v>0</v>
      </c>
      <c r="D14" s="865"/>
      <c r="E14" s="22"/>
      <c r="F14" s="23">
        <f t="shared" si="0"/>
        <v>8297.3333333333339</v>
      </c>
      <c r="G14" s="22">
        <v>1632</v>
      </c>
      <c r="H14" s="22">
        <f t="shared" si="1"/>
        <v>0</v>
      </c>
      <c r="I14" s="869"/>
      <c r="J14" s="865"/>
      <c r="K14" s="205">
        <v>2</v>
      </c>
      <c r="L14" s="196">
        <v>13824</v>
      </c>
      <c r="M14" s="196">
        <v>45432</v>
      </c>
      <c r="N14" s="196">
        <v>43776</v>
      </c>
      <c r="O14" s="196">
        <v>38400</v>
      </c>
      <c r="P14" s="196">
        <v>21032</v>
      </c>
      <c r="Q14" s="196">
        <v>29628</v>
      </c>
      <c r="R14" s="196">
        <v>5660</v>
      </c>
      <c r="S14" s="196">
        <v>33124</v>
      </c>
      <c r="T14" s="196"/>
      <c r="U14" s="201">
        <v>14208</v>
      </c>
      <c r="V14" s="191"/>
      <c r="W14" s="192"/>
      <c r="X14" s="196"/>
      <c r="Y14" s="196"/>
      <c r="Z14" s="196"/>
      <c r="AA14" s="196"/>
      <c r="AB14" s="196">
        <f t="shared" si="2"/>
        <v>0</v>
      </c>
      <c r="AC14" s="192"/>
      <c r="AD14" s="197"/>
      <c r="AE14" s="194"/>
      <c r="AF14" s="194"/>
      <c r="AG14" s="7"/>
    </row>
    <row r="15" spans="1:33">
      <c r="A15" s="866"/>
      <c r="B15" s="203" t="s">
        <v>131</v>
      </c>
      <c r="C15" s="204">
        <v>0</v>
      </c>
      <c r="D15" s="865"/>
      <c r="E15" s="22"/>
      <c r="F15" s="23">
        <f t="shared" si="0"/>
        <v>1378</v>
      </c>
      <c r="G15" s="22"/>
      <c r="H15" s="22">
        <f t="shared" si="1"/>
        <v>0</v>
      </c>
      <c r="I15" s="869"/>
      <c r="J15" s="866"/>
      <c r="K15" s="205" t="s">
        <v>131</v>
      </c>
      <c r="L15" s="196">
        <v>384</v>
      </c>
      <c r="M15" s="196">
        <v>4736</v>
      </c>
      <c r="N15" s="196">
        <v>3236</v>
      </c>
      <c r="O15" s="196">
        <v>8744</v>
      </c>
      <c r="P15" s="196">
        <v>3624</v>
      </c>
      <c r="Q15" s="196">
        <v>2068</v>
      </c>
      <c r="R15" s="196">
        <v>3380</v>
      </c>
      <c r="S15" s="196">
        <v>1920</v>
      </c>
      <c r="T15" s="196"/>
      <c r="U15" s="201">
        <v>3456</v>
      </c>
      <c r="V15" s="191"/>
      <c r="W15" s="192"/>
      <c r="X15" s="196"/>
      <c r="Y15" s="196"/>
      <c r="Z15" s="196"/>
      <c r="AA15" s="196"/>
      <c r="AB15" s="196">
        <f t="shared" si="2"/>
        <v>0</v>
      </c>
      <c r="AC15" s="192"/>
      <c r="AD15" s="197"/>
      <c r="AE15" s="194"/>
      <c r="AF15" s="194"/>
      <c r="AG15" s="7"/>
    </row>
    <row r="16" spans="1:33">
      <c r="A16" s="893" t="s">
        <v>132</v>
      </c>
      <c r="B16" s="208" t="s">
        <v>133</v>
      </c>
      <c r="C16" s="209">
        <v>0</v>
      </c>
      <c r="D16" s="865"/>
      <c r="E16" s="22"/>
      <c r="F16" s="23">
        <f t="shared" si="0"/>
        <v>215.33333333333334</v>
      </c>
      <c r="G16" s="22"/>
      <c r="H16" s="22">
        <f t="shared" si="1"/>
        <v>0</v>
      </c>
      <c r="I16" s="869"/>
      <c r="J16" s="893" t="s">
        <v>132</v>
      </c>
      <c r="K16" s="210" t="s">
        <v>133</v>
      </c>
      <c r="L16" s="211"/>
      <c r="M16" s="117">
        <v>1008</v>
      </c>
      <c r="N16" s="117"/>
      <c r="O16" s="117"/>
      <c r="P16" s="117"/>
      <c r="Q16" s="117"/>
      <c r="R16" s="117"/>
      <c r="S16" s="117"/>
      <c r="T16" s="117"/>
      <c r="U16" s="202">
        <v>3024</v>
      </c>
      <c r="V16" s="191"/>
      <c r="W16" s="212"/>
      <c r="X16" s="117"/>
      <c r="Y16" s="117"/>
      <c r="Z16" s="117"/>
      <c r="AA16" s="117"/>
      <c r="AB16" s="117">
        <f t="shared" ref="AB16:AB17" si="3">42*24*$C16</f>
        <v>0</v>
      </c>
      <c r="AC16" s="212"/>
      <c r="AD16" s="197"/>
      <c r="AE16" s="213"/>
      <c r="AF16" s="213"/>
      <c r="AG16" s="7"/>
    </row>
    <row r="17" spans="1:33">
      <c r="A17" s="866"/>
      <c r="B17" s="208" t="s">
        <v>134</v>
      </c>
      <c r="C17" s="209">
        <v>0</v>
      </c>
      <c r="D17" s="866"/>
      <c r="E17" s="22"/>
      <c r="F17" s="23">
        <f t="shared" si="0"/>
        <v>205.33333333333334</v>
      </c>
      <c r="G17" s="22"/>
      <c r="H17" s="22">
        <f t="shared" si="1"/>
        <v>0</v>
      </c>
      <c r="I17" s="869"/>
      <c r="J17" s="866"/>
      <c r="K17" s="210" t="s">
        <v>134</v>
      </c>
      <c r="L17" s="211"/>
      <c r="M17" s="211"/>
      <c r="N17" s="117">
        <v>1008</v>
      </c>
      <c r="O17" s="117">
        <v>1008</v>
      </c>
      <c r="P17" s="117"/>
      <c r="Q17" s="117"/>
      <c r="R17" s="117"/>
      <c r="S17" s="117"/>
      <c r="T17" s="117"/>
      <c r="U17" s="191"/>
      <c r="V17" s="191"/>
      <c r="W17" s="212"/>
      <c r="X17" s="117"/>
      <c r="Y17" s="117"/>
      <c r="Z17" s="117"/>
      <c r="AA17" s="214">
        <v>1008</v>
      </c>
      <c r="AB17" s="117">
        <f t="shared" si="3"/>
        <v>0</v>
      </c>
      <c r="AC17" s="215"/>
      <c r="AD17" s="216"/>
      <c r="AE17" s="213"/>
      <c r="AF17" s="213"/>
      <c r="AG17" s="7"/>
    </row>
    <row r="18" spans="1:33" ht="15.75" customHeight="1">
      <c r="A18" s="178"/>
      <c r="B18" s="178"/>
      <c r="C18" s="178"/>
      <c r="D18" s="178"/>
      <c r="E18" s="178"/>
      <c r="F18" s="178"/>
      <c r="G18" s="178"/>
      <c r="H18" s="178"/>
      <c r="I18" s="869"/>
      <c r="J18" s="895" t="s">
        <v>135</v>
      </c>
      <c r="K18" s="217" t="s">
        <v>136</v>
      </c>
      <c r="L18" s="211"/>
      <c r="M18" s="211"/>
      <c r="N18" s="117">
        <v>3432</v>
      </c>
      <c r="O18" s="117"/>
      <c r="P18" s="117">
        <v>3432</v>
      </c>
      <c r="Q18" s="117">
        <v>6864</v>
      </c>
      <c r="R18" s="117"/>
      <c r="S18" s="117"/>
      <c r="T18" s="117"/>
      <c r="U18" s="218">
        <v>3432</v>
      </c>
      <c r="V18" s="218"/>
      <c r="W18" s="219"/>
      <c r="X18" s="220"/>
      <c r="Y18" s="117"/>
      <c r="Z18" s="117"/>
      <c r="AA18" s="117"/>
      <c r="AB18" s="117">
        <v>3432</v>
      </c>
      <c r="AC18" s="221"/>
      <c r="AD18" s="222"/>
      <c r="AE18" s="213"/>
      <c r="AF18" s="213"/>
      <c r="AG18" s="7"/>
    </row>
    <row r="19" spans="1:33">
      <c r="A19" s="178"/>
      <c r="B19" s="1"/>
      <c r="C19" s="178"/>
      <c r="D19" s="178"/>
      <c r="E19" s="178"/>
      <c r="F19" s="178"/>
      <c r="G19" s="178"/>
      <c r="H19" s="178"/>
      <c r="I19" s="869"/>
      <c r="J19" s="865"/>
      <c r="K19" s="217" t="s">
        <v>137</v>
      </c>
      <c r="L19" s="211"/>
      <c r="M19" s="211"/>
      <c r="N19" s="117">
        <v>3432</v>
      </c>
      <c r="O19" s="117"/>
      <c r="P19" s="117">
        <v>3432</v>
      </c>
      <c r="Q19" s="117">
        <v>6864</v>
      </c>
      <c r="R19" s="117"/>
      <c r="S19" s="117"/>
      <c r="T19" s="117"/>
      <c r="U19" s="218">
        <v>3432</v>
      </c>
      <c r="V19" s="218"/>
      <c r="W19" s="212"/>
      <c r="X19" s="220"/>
      <c r="Y19" s="117"/>
      <c r="Z19" s="117"/>
      <c r="AA19" s="117"/>
      <c r="AB19" s="117">
        <v>3432</v>
      </c>
      <c r="AC19" s="117"/>
      <c r="AD19" s="212"/>
      <c r="AE19" s="213"/>
      <c r="AF19" s="213"/>
      <c r="AG19" s="7"/>
    </row>
    <row r="20" spans="1:33" ht="15.75" customHeight="1">
      <c r="A20" s="178"/>
      <c r="B20" s="178"/>
      <c r="C20" s="178"/>
      <c r="D20" s="178"/>
      <c r="E20" s="178"/>
      <c r="F20" s="178"/>
      <c r="G20" s="178"/>
      <c r="H20" s="178"/>
      <c r="I20" s="869"/>
      <c r="J20" s="865"/>
      <c r="K20" s="217" t="s">
        <v>138</v>
      </c>
      <c r="L20" s="211"/>
      <c r="M20" s="211"/>
      <c r="N20" s="117">
        <v>3432</v>
      </c>
      <c r="O20" s="117"/>
      <c r="P20" s="117">
        <v>3432</v>
      </c>
      <c r="Q20" s="117"/>
      <c r="R20" s="117"/>
      <c r="S20" s="117"/>
      <c r="T20" s="117"/>
      <c r="U20" s="218">
        <v>3432</v>
      </c>
      <c r="V20" s="218"/>
      <c r="W20" s="212"/>
      <c r="X20" s="220"/>
      <c r="Y20" s="117"/>
      <c r="Z20" s="117"/>
      <c r="AA20" s="117"/>
      <c r="AB20" s="117">
        <v>6864</v>
      </c>
      <c r="AC20" s="117"/>
      <c r="AD20" s="212"/>
      <c r="AE20" s="213"/>
      <c r="AF20" s="213"/>
      <c r="AG20" s="7"/>
    </row>
    <row r="21" spans="1:33" ht="15.75" customHeight="1">
      <c r="A21" s="178"/>
      <c r="B21" s="178"/>
      <c r="C21" s="178"/>
      <c r="D21" s="178"/>
      <c r="E21" s="178"/>
      <c r="F21" s="178"/>
      <c r="G21" s="178"/>
      <c r="H21" s="178"/>
      <c r="I21" s="869"/>
      <c r="J21" s="866"/>
      <c r="K21" s="217" t="s">
        <v>139</v>
      </c>
      <c r="L21" s="211"/>
      <c r="M21" s="211"/>
      <c r="N21" s="117">
        <v>3432</v>
      </c>
      <c r="O21" s="117"/>
      <c r="P21" s="117">
        <v>3432</v>
      </c>
      <c r="Q21" s="117"/>
      <c r="R21" s="117"/>
      <c r="S21" s="117"/>
      <c r="T21" s="117"/>
      <c r="U21" s="218">
        <v>3432</v>
      </c>
      <c r="V21" s="218"/>
      <c r="W21" s="212"/>
      <c r="X21" s="220"/>
      <c r="Y21" s="117"/>
      <c r="Z21" s="117"/>
      <c r="AA21" s="117"/>
      <c r="AB21" s="117">
        <v>6864</v>
      </c>
      <c r="AC21" s="117"/>
      <c r="AD21" s="215"/>
      <c r="AE21" s="213"/>
      <c r="AF21" s="213"/>
      <c r="AG21" s="7"/>
    </row>
    <row r="22" spans="1:33" ht="15.75" customHeight="1">
      <c r="A22" s="178"/>
      <c r="B22" s="178"/>
      <c r="C22" s="178"/>
      <c r="D22" s="178"/>
      <c r="E22" s="178"/>
      <c r="F22" s="178"/>
      <c r="G22" s="178"/>
      <c r="H22" s="178"/>
      <c r="I22" s="869"/>
      <c r="J22" s="889" t="s">
        <v>38</v>
      </c>
      <c r="K22" s="860"/>
      <c r="L22" s="224">
        <f t="shared" ref="L22:AF22" si="4">SUM(L6:L21)</f>
        <v>59328</v>
      </c>
      <c r="M22" s="224">
        <f t="shared" si="4"/>
        <v>69860</v>
      </c>
      <c r="N22" s="224">
        <f t="shared" si="4"/>
        <v>99628</v>
      </c>
      <c r="O22" s="224">
        <f t="shared" si="4"/>
        <v>163492</v>
      </c>
      <c r="P22" s="224">
        <f t="shared" si="4"/>
        <v>98046</v>
      </c>
      <c r="Q22" s="224">
        <f t="shared" si="4"/>
        <v>58656</v>
      </c>
      <c r="R22" s="224">
        <f t="shared" si="4"/>
        <v>14162</v>
      </c>
      <c r="S22" s="224">
        <f t="shared" si="4"/>
        <v>101916</v>
      </c>
      <c r="T22" s="224">
        <f t="shared" si="4"/>
        <v>29256</v>
      </c>
      <c r="U22" s="224">
        <f t="shared" si="4"/>
        <v>51160</v>
      </c>
      <c r="V22" s="224">
        <f t="shared" si="4"/>
        <v>0</v>
      </c>
      <c r="W22" s="225">
        <f t="shared" si="4"/>
        <v>0</v>
      </c>
      <c r="X22" s="226">
        <f t="shared" si="4"/>
        <v>7248</v>
      </c>
      <c r="Y22" s="224">
        <f t="shared" si="4"/>
        <v>0</v>
      </c>
      <c r="Z22" s="224">
        <f t="shared" si="4"/>
        <v>0</v>
      </c>
      <c r="AA22" s="224">
        <f t="shared" si="4"/>
        <v>1008</v>
      </c>
      <c r="AB22" s="224">
        <f t="shared" si="4"/>
        <v>20592</v>
      </c>
      <c r="AC22" s="224">
        <f t="shared" si="4"/>
        <v>0</v>
      </c>
      <c r="AD22" s="227">
        <f t="shared" si="4"/>
        <v>0</v>
      </c>
      <c r="AE22" s="228">
        <f t="shared" si="4"/>
        <v>0</v>
      </c>
      <c r="AF22" s="228">
        <f t="shared" si="4"/>
        <v>0</v>
      </c>
      <c r="AG22" s="7"/>
    </row>
    <row r="23" spans="1:33" ht="15.75" customHeight="1">
      <c r="A23" s="178"/>
      <c r="B23" s="178"/>
      <c r="C23" s="178"/>
      <c r="D23" s="178"/>
      <c r="E23" s="178"/>
      <c r="F23" s="178"/>
      <c r="G23" s="178"/>
      <c r="H23" s="178"/>
      <c r="I23" s="869"/>
      <c r="J23" s="889" t="s">
        <v>39</v>
      </c>
      <c r="K23" s="860"/>
      <c r="L23" s="224">
        <f>금액!E34</f>
        <v>1131080.52</v>
      </c>
      <c r="M23" s="224">
        <f>금액!F34</f>
        <v>1283335.2</v>
      </c>
      <c r="N23" s="224">
        <f>금액!G34</f>
        <v>1628142.52</v>
      </c>
      <c r="O23" s="224">
        <f>금액!H34</f>
        <v>3034407.52</v>
      </c>
      <c r="P23" s="224">
        <f>금액!I34</f>
        <v>1526571.14</v>
      </c>
      <c r="Q23" s="224">
        <f>금액!J34</f>
        <v>827218.72000000009</v>
      </c>
      <c r="R23" s="224">
        <f>금액!K34</f>
        <v>187967.86</v>
      </c>
      <c r="S23" s="224">
        <f>금액!L34</f>
        <v>1951046.48</v>
      </c>
      <c r="T23" s="224">
        <f>금액!M34</f>
        <v>506087.28</v>
      </c>
      <c r="U23" s="224">
        <f>금액!N34</f>
        <v>646481.04000000015</v>
      </c>
      <c r="V23" s="224">
        <f>금액!O34</f>
        <v>0</v>
      </c>
      <c r="W23" s="225">
        <f>금액!P34</f>
        <v>0</v>
      </c>
      <c r="X23" s="226">
        <f>금액!Q34</f>
        <v>0</v>
      </c>
      <c r="Y23" s="224">
        <f>금액!R34</f>
        <v>0</v>
      </c>
      <c r="Z23" s="224">
        <f>금액!S34</f>
        <v>0</v>
      </c>
      <c r="AA23" s="224">
        <f>금액!T34</f>
        <v>8709.1200000000008</v>
      </c>
      <c r="AB23" s="224">
        <f>금액!U34</f>
        <v>31711.68</v>
      </c>
      <c r="AC23" s="224">
        <f>금액!V34</f>
        <v>0</v>
      </c>
      <c r="AD23" s="228">
        <f>금액!W34</f>
        <v>0</v>
      </c>
      <c r="AE23" s="228">
        <f>금액!X34</f>
        <v>0</v>
      </c>
      <c r="AF23" s="228">
        <f>금액!Y34</f>
        <v>0</v>
      </c>
      <c r="AG23" s="7"/>
    </row>
    <row r="24" spans="1:33" ht="15.75" customHeight="1">
      <c r="A24" s="178"/>
      <c r="B24" s="178"/>
      <c r="C24" s="178"/>
      <c r="D24" s="178"/>
      <c r="E24" s="178"/>
      <c r="F24" s="178"/>
      <c r="G24" s="178"/>
      <c r="H24" s="178"/>
      <c r="I24" s="870"/>
      <c r="J24" s="889" t="s">
        <v>40</v>
      </c>
      <c r="K24" s="860"/>
      <c r="L24" s="224">
        <f t="shared" ref="L24:AF24" si="5">L23*$I$4</f>
        <v>1979390910</v>
      </c>
      <c r="M24" s="224">
        <f t="shared" si="5"/>
        <v>2245836600</v>
      </c>
      <c r="N24" s="224">
        <f t="shared" si="5"/>
        <v>2849249410</v>
      </c>
      <c r="O24" s="224">
        <f t="shared" si="5"/>
        <v>5310213160</v>
      </c>
      <c r="P24" s="224">
        <f t="shared" si="5"/>
        <v>2671499495</v>
      </c>
      <c r="Q24" s="224">
        <f t="shared" si="5"/>
        <v>1447632760.0000002</v>
      </c>
      <c r="R24" s="224">
        <f t="shared" si="5"/>
        <v>328943755</v>
      </c>
      <c r="S24" s="224">
        <f t="shared" si="5"/>
        <v>3414331340</v>
      </c>
      <c r="T24" s="224">
        <f t="shared" si="5"/>
        <v>885652740</v>
      </c>
      <c r="U24" s="224">
        <f t="shared" si="5"/>
        <v>1131341820.0000002</v>
      </c>
      <c r="V24" s="224">
        <f t="shared" si="5"/>
        <v>0</v>
      </c>
      <c r="W24" s="232">
        <f t="shared" si="5"/>
        <v>0</v>
      </c>
      <c r="X24" s="226">
        <f t="shared" si="5"/>
        <v>0</v>
      </c>
      <c r="Y24" s="224">
        <f t="shared" si="5"/>
        <v>0</v>
      </c>
      <c r="Z24" s="224">
        <f t="shared" si="5"/>
        <v>0</v>
      </c>
      <c r="AA24" s="224">
        <f t="shared" si="5"/>
        <v>15240960.000000002</v>
      </c>
      <c r="AB24" s="224">
        <f t="shared" si="5"/>
        <v>55495440</v>
      </c>
      <c r="AC24" s="224">
        <f t="shared" si="5"/>
        <v>0</v>
      </c>
      <c r="AD24" s="228">
        <f t="shared" si="5"/>
        <v>0</v>
      </c>
      <c r="AE24" s="228">
        <f t="shared" si="5"/>
        <v>0</v>
      </c>
      <c r="AF24" s="228">
        <f t="shared" si="5"/>
        <v>0</v>
      </c>
      <c r="AG24" s="7"/>
    </row>
    <row r="25" spans="1:33" ht="15.75" customHeight="1">
      <c r="A25" s="178"/>
      <c r="B25" s="178"/>
      <c r="C25" s="178"/>
      <c r="D25" s="178"/>
      <c r="E25" s="178"/>
      <c r="F25" s="178"/>
      <c r="G25" s="178"/>
      <c r="H25" s="178"/>
      <c r="I25" s="235"/>
      <c r="J25" s="236"/>
      <c r="K25" s="236"/>
      <c r="AG25" s="7"/>
    </row>
    <row r="26" spans="1:33" ht="15.75" customHeight="1">
      <c r="B26" s="178"/>
      <c r="C26" s="178"/>
      <c r="D26" s="178"/>
      <c r="E26" s="178"/>
      <c r="F26" s="178"/>
      <c r="G26" s="178"/>
      <c r="H26" s="178"/>
      <c r="I26" s="235"/>
      <c r="J26" s="236"/>
      <c r="K26" s="236"/>
      <c r="L26" s="237" t="s">
        <v>41</v>
      </c>
      <c r="M26" s="237" t="s">
        <v>41</v>
      </c>
      <c r="N26" s="237" t="s">
        <v>41</v>
      </c>
      <c r="O26" s="76" t="s">
        <v>41</v>
      </c>
      <c r="P26" s="76" t="s">
        <v>41</v>
      </c>
      <c r="Q26" s="76" t="s">
        <v>41</v>
      </c>
      <c r="R26" s="76" t="s">
        <v>41</v>
      </c>
      <c r="S26" s="76" t="s">
        <v>41</v>
      </c>
      <c r="T26" s="76" t="s">
        <v>41</v>
      </c>
      <c r="U26" s="76" t="s">
        <v>41</v>
      </c>
      <c r="V26" s="76" t="s">
        <v>42</v>
      </c>
      <c r="W26" s="77" t="s">
        <v>42</v>
      </c>
      <c r="X26" s="77" t="s">
        <v>42</v>
      </c>
      <c r="Y26" s="77" t="s">
        <v>42</v>
      </c>
      <c r="Z26" s="77" t="s">
        <v>42</v>
      </c>
      <c r="AA26" s="77" t="s">
        <v>42</v>
      </c>
      <c r="AB26" s="77" t="s">
        <v>42</v>
      </c>
      <c r="AC26" s="77" t="s">
        <v>42</v>
      </c>
      <c r="AD26" s="77" t="s">
        <v>42</v>
      </c>
      <c r="AE26" s="77" t="s">
        <v>42</v>
      </c>
      <c r="AF26" s="77" t="s">
        <v>42</v>
      </c>
      <c r="AG26" s="7"/>
    </row>
    <row r="27" spans="1:33" ht="15.75" customHeight="1" outlineLevel="1">
      <c r="B27" s="178"/>
      <c r="C27" s="178"/>
      <c r="D27" s="178"/>
      <c r="E27" s="178"/>
      <c r="F27" s="178"/>
      <c r="G27" s="178"/>
      <c r="H27" s="178"/>
      <c r="I27" s="890" t="s">
        <v>43</v>
      </c>
      <c r="J27" s="879"/>
      <c r="K27" s="860"/>
      <c r="L27" s="103" t="s">
        <v>14</v>
      </c>
      <c r="M27" s="103" t="s">
        <v>15</v>
      </c>
      <c r="N27" s="103" t="s">
        <v>16</v>
      </c>
      <c r="O27" s="238" t="s">
        <v>17</v>
      </c>
      <c r="P27" s="103" t="s">
        <v>18</v>
      </c>
      <c r="Q27" s="103" t="s">
        <v>19</v>
      </c>
      <c r="R27" s="103" t="s">
        <v>20</v>
      </c>
      <c r="S27" s="103" t="s">
        <v>21</v>
      </c>
      <c r="T27" s="103" t="s">
        <v>22</v>
      </c>
      <c r="U27" s="103" t="s">
        <v>23</v>
      </c>
      <c r="V27" s="103" t="s">
        <v>107</v>
      </c>
      <c r="W27" s="239" t="s">
        <v>25</v>
      </c>
      <c r="X27" s="103" t="s">
        <v>26</v>
      </c>
      <c r="Y27" s="103" t="s">
        <v>15</v>
      </c>
      <c r="Z27" s="103" t="s">
        <v>16</v>
      </c>
      <c r="AA27" s="103" t="s">
        <v>17</v>
      </c>
      <c r="AB27" s="103" t="s">
        <v>18</v>
      </c>
      <c r="AC27" s="239" t="s">
        <v>19</v>
      </c>
      <c r="AD27" s="240" t="s">
        <v>20</v>
      </c>
      <c r="AE27" s="240" t="s">
        <v>21</v>
      </c>
      <c r="AF27" s="240" t="s">
        <v>22</v>
      </c>
      <c r="AG27" s="7"/>
    </row>
    <row r="28" spans="1:33" ht="15.75" customHeight="1" outlineLevel="1">
      <c r="B28" s="178"/>
      <c r="C28" s="178"/>
      <c r="D28" s="178"/>
      <c r="E28" s="178"/>
      <c r="F28" s="178"/>
      <c r="G28" s="178"/>
      <c r="H28" s="178"/>
      <c r="I28" s="910" t="s">
        <v>44</v>
      </c>
      <c r="J28" s="891" t="s">
        <v>27</v>
      </c>
      <c r="K28" s="190" t="s">
        <v>110</v>
      </c>
      <c r="L28" s="116">
        <v>710</v>
      </c>
      <c r="M28" s="116">
        <v>487</v>
      </c>
      <c r="N28" s="116">
        <v>633</v>
      </c>
      <c r="O28" s="116">
        <v>710</v>
      </c>
      <c r="P28" s="116">
        <v>557</v>
      </c>
      <c r="Q28" s="116">
        <v>197</v>
      </c>
      <c r="R28" s="116">
        <v>158</v>
      </c>
      <c r="S28" s="116">
        <v>126</v>
      </c>
      <c r="T28" s="116">
        <v>84</v>
      </c>
      <c r="U28" s="116">
        <v>139</v>
      </c>
      <c r="V28" s="116">
        <v>142</v>
      </c>
      <c r="W28" s="127">
        <v>205</v>
      </c>
      <c r="X28" s="116">
        <v>213</v>
      </c>
      <c r="Y28" s="116">
        <v>209</v>
      </c>
      <c r="Z28" s="116">
        <v>242</v>
      </c>
      <c r="AA28" s="116">
        <v>276</v>
      </c>
      <c r="AB28" s="116">
        <v>309</v>
      </c>
      <c r="AC28" s="127">
        <v>337</v>
      </c>
      <c r="AD28" s="213">
        <v>358</v>
      </c>
      <c r="AE28" s="213">
        <v>375</v>
      </c>
      <c r="AF28" s="213">
        <v>390</v>
      </c>
      <c r="AG28" s="7"/>
    </row>
    <row r="29" spans="1:33" ht="15.75" customHeight="1" outlineLevel="1">
      <c r="B29" s="178"/>
      <c r="C29" s="178"/>
      <c r="D29" s="178"/>
      <c r="E29" s="178"/>
      <c r="F29" s="178"/>
      <c r="G29" s="178"/>
      <c r="H29" s="178"/>
      <c r="I29" s="865"/>
      <c r="J29" s="865"/>
      <c r="K29" s="190">
        <v>1</v>
      </c>
      <c r="L29" s="116">
        <v>2121</v>
      </c>
      <c r="M29" s="116">
        <v>1299</v>
      </c>
      <c r="N29" s="116">
        <v>886</v>
      </c>
      <c r="O29" s="116">
        <v>1736</v>
      </c>
      <c r="P29" s="116">
        <v>1721</v>
      </c>
      <c r="Q29" s="116">
        <v>686</v>
      </c>
      <c r="R29" s="116">
        <v>674</v>
      </c>
      <c r="S29" s="116">
        <v>813</v>
      </c>
      <c r="T29" s="116">
        <v>747</v>
      </c>
      <c r="U29" s="116">
        <v>726</v>
      </c>
      <c r="V29" s="116">
        <v>638</v>
      </c>
      <c r="W29" s="127">
        <v>924</v>
      </c>
      <c r="X29" s="116">
        <v>942</v>
      </c>
      <c r="Y29" s="116">
        <v>933</v>
      </c>
      <c r="Z29" s="116">
        <v>989</v>
      </c>
      <c r="AA29" s="116">
        <v>1038</v>
      </c>
      <c r="AB29" s="116">
        <v>1080</v>
      </c>
      <c r="AC29" s="127">
        <v>1112</v>
      </c>
      <c r="AD29" s="213">
        <v>1135</v>
      </c>
      <c r="AE29" s="213">
        <v>1169</v>
      </c>
      <c r="AF29" s="213">
        <v>1192</v>
      </c>
      <c r="AG29" s="7"/>
    </row>
    <row r="30" spans="1:33" ht="15.75" customHeight="1" outlineLevel="1">
      <c r="B30" s="178"/>
      <c r="C30" s="178"/>
      <c r="D30" s="178"/>
      <c r="E30" s="178"/>
      <c r="F30" s="178"/>
      <c r="G30" s="178"/>
      <c r="H30" s="178"/>
      <c r="I30" s="865"/>
      <c r="J30" s="865"/>
      <c r="K30" s="190" t="s">
        <v>119</v>
      </c>
      <c r="L30" s="116">
        <v>2606</v>
      </c>
      <c r="M30" s="116">
        <v>2088</v>
      </c>
      <c r="N30" s="116">
        <v>1780</v>
      </c>
      <c r="O30" s="116">
        <v>1748</v>
      </c>
      <c r="P30" s="116">
        <v>1404</v>
      </c>
      <c r="Q30" s="116">
        <v>160</v>
      </c>
      <c r="R30" s="116">
        <v>0.1</v>
      </c>
      <c r="S30" s="116">
        <v>100</v>
      </c>
      <c r="T30" s="116">
        <v>297</v>
      </c>
      <c r="U30" s="116">
        <v>290</v>
      </c>
      <c r="V30" s="116">
        <v>300</v>
      </c>
      <c r="W30" s="127">
        <v>381</v>
      </c>
      <c r="X30" s="116">
        <v>469</v>
      </c>
      <c r="Y30" s="116">
        <v>441</v>
      </c>
      <c r="Z30" s="116">
        <v>471</v>
      </c>
      <c r="AA30" s="116">
        <v>495</v>
      </c>
      <c r="AB30" s="116">
        <v>485</v>
      </c>
      <c r="AC30" s="127">
        <v>495</v>
      </c>
      <c r="AD30" s="213">
        <v>599</v>
      </c>
      <c r="AE30" s="213">
        <v>760</v>
      </c>
      <c r="AF30" s="213">
        <v>798</v>
      </c>
      <c r="AG30" s="7"/>
    </row>
    <row r="31" spans="1:33" ht="15.75" customHeight="1" outlineLevel="1">
      <c r="B31" s="178"/>
      <c r="C31" s="178"/>
      <c r="D31" s="178"/>
      <c r="E31" s="178"/>
      <c r="F31" s="178"/>
      <c r="G31" s="178"/>
      <c r="H31" s="178"/>
      <c r="I31" s="865"/>
      <c r="J31" s="865"/>
      <c r="K31" s="190">
        <v>2</v>
      </c>
      <c r="L31" s="116">
        <v>1440</v>
      </c>
      <c r="M31" s="116">
        <v>1250</v>
      </c>
      <c r="N31" s="116">
        <v>1781</v>
      </c>
      <c r="O31" s="116">
        <v>1637</v>
      </c>
      <c r="P31" s="116">
        <v>1868</v>
      </c>
      <c r="Q31" s="116">
        <v>851</v>
      </c>
      <c r="R31" s="116">
        <v>1019</v>
      </c>
      <c r="S31" s="116">
        <v>1413</v>
      </c>
      <c r="T31" s="116">
        <v>1345</v>
      </c>
      <c r="U31" s="116">
        <v>1198</v>
      </c>
      <c r="V31" s="116">
        <v>1151</v>
      </c>
      <c r="W31" s="127">
        <v>1013</v>
      </c>
      <c r="X31" s="116">
        <v>1033</v>
      </c>
      <c r="Y31" s="116">
        <v>1013</v>
      </c>
      <c r="Z31" s="116">
        <v>1053</v>
      </c>
      <c r="AA31" s="116">
        <v>1085</v>
      </c>
      <c r="AB31" s="116">
        <v>1074</v>
      </c>
      <c r="AC31" s="127">
        <v>1042</v>
      </c>
      <c r="AD31" s="213">
        <v>1198</v>
      </c>
      <c r="AE31" s="213">
        <v>1270</v>
      </c>
      <c r="AF31" s="213">
        <v>1308</v>
      </c>
      <c r="AG31" s="7"/>
    </row>
    <row r="32" spans="1:33" ht="15.75" customHeight="1" outlineLevel="1">
      <c r="B32" s="178"/>
      <c r="C32" s="178"/>
      <c r="D32" s="178"/>
      <c r="E32" s="178"/>
      <c r="F32" s="178"/>
      <c r="G32" s="178"/>
      <c r="H32" s="178"/>
      <c r="I32" s="865"/>
      <c r="J32" s="865"/>
      <c r="K32" s="190" t="s">
        <v>124</v>
      </c>
      <c r="L32" s="116">
        <v>2581</v>
      </c>
      <c r="M32" s="116">
        <v>2257</v>
      </c>
      <c r="N32" s="116">
        <v>1933</v>
      </c>
      <c r="O32" s="116">
        <v>2237</v>
      </c>
      <c r="P32" s="116">
        <v>1848</v>
      </c>
      <c r="Q32" s="116">
        <v>808</v>
      </c>
      <c r="R32" s="116">
        <v>694</v>
      </c>
      <c r="S32" s="116">
        <v>636</v>
      </c>
      <c r="T32" s="116">
        <v>592</v>
      </c>
      <c r="U32" s="116">
        <v>577</v>
      </c>
      <c r="V32" s="116">
        <v>577</v>
      </c>
      <c r="W32" s="127">
        <v>563</v>
      </c>
      <c r="X32" s="116">
        <v>681</v>
      </c>
      <c r="Y32" s="116">
        <v>654</v>
      </c>
      <c r="Z32" s="116">
        <v>739</v>
      </c>
      <c r="AA32" s="116">
        <v>783</v>
      </c>
      <c r="AB32" s="116">
        <v>768</v>
      </c>
      <c r="AC32" s="127">
        <v>752</v>
      </c>
      <c r="AD32" s="213">
        <v>850</v>
      </c>
      <c r="AE32" s="213">
        <v>995</v>
      </c>
      <c r="AF32" s="213">
        <v>1024</v>
      </c>
      <c r="AG32" s="7"/>
    </row>
    <row r="33" spans="1:33" ht="15.75" customHeight="1" outlineLevel="1">
      <c r="B33" s="178"/>
      <c r="C33" s="178"/>
      <c r="D33" s="178"/>
      <c r="E33" s="178"/>
      <c r="F33" s="178"/>
      <c r="G33" s="178"/>
      <c r="H33" s="178"/>
      <c r="I33" s="865"/>
      <c r="J33" s="866"/>
      <c r="K33" s="190">
        <v>3</v>
      </c>
      <c r="L33" s="116">
        <v>669</v>
      </c>
      <c r="M33" s="116">
        <v>29</v>
      </c>
      <c r="N33" s="116">
        <v>431</v>
      </c>
      <c r="O33" s="116">
        <v>602</v>
      </c>
      <c r="P33" s="116">
        <v>559</v>
      </c>
      <c r="Q33" s="116">
        <v>85</v>
      </c>
      <c r="R33" s="116">
        <v>297</v>
      </c>
      <c r="S33" s="116">
        <v>240</v>
      </c>
      <c r="T33" s="116">
        <v>225</v>
      </c>
      <c r="U33" s="116">
        <v>294</v>
      </c>
      <c r="V33" s="116">
        <v>311</v>
      </c>
      <c r="W33" s="127">
        <v>442</v>
      </c>
      <c r="X33" s="116">
        <v>446</v>
      </c>
      <c r="Y33" s="116">
        <v>451</v>
      </c>
      <c r="Z33" s="116">
        <v>460</v>
      </c>
      <c r="AA33" s="116">
        <v>469</v>
      </c>
      <c r="AB33" s="116">
        <v>474</v>
      </c>
      <c r="AC33" s="127">
        <v>483</v>
      </c>
      <c r="AD33" s="213">
        <v>488</v>
      </c>
      <c r="AE33" s="213">
        <v>498</v>
      </c>
      <c r="AF33" s="213">
        <v>508</v>
      </c>
      <c r="AG33" s="7"/>
    </row>
    <row r="34" spans="1:33" ht="15.75" customHeight="1" outlineLevel="1">
      <c r="B34" s="178"/>
      <c r="C34" s="178"/>
      <c r="D34" s="178"/>
      <c r="E34" s="178"/>
      <c r="F34" s="178"/>
      <c r="G34" s="178"/>
      <c r="H34" s="178"/>
      <c r="I34" s="865"/>
      <c r="J34" s="892" t="s">
        <v>32</v>
      </c>
      <c r="K34" s="205" t="s">
        <v>110</v>
      </c>
      <c r="L34" s="116">
        <v>9688</v>
      </c>
      <c r="M34" s="116">
        <v>8381</v>
      </c>
      <c r="N34" s="116">
        <v>10566</v>
      </c>
      <c r="O34" s="116">
        <v>12615</v>
      </c>
      <c r="P34" s="116">
        <v>11494</v>
      </c>
      <c r="Q34" s="116">
        <v>4054</v>
      </c>
      <c r="R34" s="116">
        <v>2492</v>
      </c>
      <c r="S34" s="116">
        <v>2360</v>
      </c>
      <c r="T34" s="116">
        <v>2541</v>
      </c>
      <c r="U34" s="117">
        <v>2527</v>
      </c>
      <c r="V34" s="117">
        <v>2561</v>
      </c>
      <c r="W34" s="127">
        <v>2749</v>
      </c>
      <c r="X34" s="117">
        <v>2859</v>
      </c>
      <c r="Y34" s="117">
        <v>2916</v>
      </c>
      <c r="Z34" s="117">
        <v>3149</v>
      </c>
      <c r="AA34" s="117">
        <v>3307</v>
      </c>
      <c r="AB34" s="117">
        <v>3439</v>
      </c>
      <c r="AC34" s="127">
        <v>3542</v>
      </c>
      <c r="AD34" s="213">
        <v>3649</v>
      </c>
      <c r="AE34" s="213">
        <v>3795</v>
      </c>
      <c r="AF34" s="213">
        <v>3908</v>
      </c>
      <c r="AG34" s="7"/>
    </row>
    <row r="35" spans="1:33" ht="15.75" customHeight="1" outlineLevel="1">
      <c r="B35" s="178"/>
      <c r="C35" s="178"/>
      <c r="D35" s="178"/>
      <c r="E35" s="178"/>
      <c r="F35" s="178"/>
      <c r="G35" s="178"/>
      <c r="H35" s="178"/>
      <c r="I35" s="865"/>
      <c r="J35" s="865"/>
      <c r="K35" s="205">
        <v>1</v>
      </c>
      <c r="L35" s="116">
        <v>17360</v>
      </c>
      <c r="M35" s="116">
        <v>15775</v>
      </c>
      <c r="N35" s="116">
        <v>22182</v>
      </c>
      <c r="O35" s="116">
        <v>26587</v>
      </c>
      <c r="P35" s="116">
        <v>22168</v>
      </c>
      <c r="Q35" s="116">
        <v>7554</v>
      </c>
      <c r="R35" s="116">
        <v>4912</v>
      </c>
      <c r="S35" s="116">
        <v>4861</v>
      </c>
      <c r="T35" s="116">
        <v>5004</v>
      </c>
      <c r="U35" s="117">
        <v>4732</v>
      </c>
      <c r="V35" s="117">
        <v>5157</v>
      </c>
      <c r="W35" s="127">
        <v>5420</v>
      </c>
      <c r="X35" s="117">
        <v>5528</v>
      </c>
      <c r="Y35" s="117">
        <v>5639</v>
      </c>
      <c r="Z35" s="117">
        <v>5977</v>
      </c>
      <c r="AA35" s="117">
        <v>6276</v>
      </c>
      <c r="AB35" s="117">
        <v>6527</v>
      </c>
      <c r="AC35" s="127">
        <v>6723</v>
      </c>
      <c r="AD35" s="213">
        <v>6925</v>
      </c>
      <c r="AE35" s="213">
        <v>7063</v>
      </c>
      <c r="AF35" s="213">
        <v>7204</v>
      </c>
      <c r="AG35" s="7"/>
    </row>
    <row r="36" spans="1:33" ht="15.75" customHeight="1" outlineLevel="1">
      <c r="B36" s="178"/>
      <c r="C36" s="178"/>
      <c r="D36" s="178"/>
      <c r="E36" s="178"/>
      <c r="F36" s="178"/>
      <c r="G36" s="178"/>
      <c r="H36" s="178"/>
      <c r="I36" s="865"/>
      <c r="J36" s="865"/>
      <c r="K36" s="205">
        <v>2</v>
      </c>
      <c r="L36" s="116">
        <v>18026</v>
      </c>
      <c r="M36" s="116">
        <v>15580</v>
      </c>
      <c r="N36" s="116">
        <v>23220</v>
      </c>
      <c r="O36" s="116">
        <v>27630</v>
      </c>
      <c r="P36" s="116">
        <v>21263</v>
      </c>
      <c r="Q36" s="116">
        <v>8519</v>
      </c>
      <c r="R36" s="116">
        <v>7444</v>
      </c>
      <c r="S36" s="116">
        <v>7150</v>
      </c>
      <c r="T36" s="116">
        <v>8966</v>
      </c>
      <c r="U36" s="116">
        <v>8776</v>
      </c>
      <c r="V36" s="116">
        <v>8169</v>
      </c>
      <c r="W36" s="127">
        <v>7188</v>
      </c>
      <c r="X36" s="116">
        <v>7547</v>
      </c>
      <c r="Y36" s="116">
        <v>7774</v>
      </c>
      <c r="Z36" s="116">
        <v>8240</v>
      </c>
      <c r="AA36" s="116">
        <v>8570</v>
      </c>
      <c r="AB36" s="116">
        <v>8827</v>
      </c>
      <c r="AC36" s="127">
        <v>9003</v>
      </c>
      <c r="AD36" s="213">
        <v>9274</v>
      </c>
      <c r="AE36" s="213">
        <v>9459</v>
      </c>
      <c r="AF36" s="213">
        <v>9648</v>
      </c>
      <c r="AG36" s="7"/>
    </row>
    <row r="37" spans="1:33" ht="12.75" outlineLevel="1">
      <c r="B37" s="178"/>
      <c r="C37" s="178"/>
      <c r="D37" s="178"/>
      <c r="E37" s="178"/>
      <c r="F37" s="178"/>
      <c r="G37" s="178"/>
      <c r="H37" s="178"/>
      <c r="I37" s="865"/>
      <c r="J37" s="866"/>
      <c r="K37" s="205" t="s">
        <v>131</v>
      </c>
      <c r="L37" s="116">
        <v>2195</v>
      </c>
      <c r="M37" s="116">
        <v>2236</v>
      </c>
      <c r="N37" s="116">
        <v>2623</v>
      </c>
      <c r="O37" s="116">
        <v>2997</v>
      </c>
      <c r="P37" s="116">
        <v>2547</v>
      </c>
      <c r="Q37" s="116">
        <v>1354</v>
      </c>
      <c r="R37" s="116">
        <v>1298</v>
      </c>
      <c r="S37" s="116">
        <v>1236</v>
      </c>
      <c r="T37" s="116">
        <v>1438</v>
      </c>
      <c r="U37" s="116">
        <v>1460</v>
      </c>
      <c r="V37" s="116">
        <v>1392</v>
      </c>
      <c r="W37" s="127">
        <v>1220</v>
      </c>
      <c r="X37" s="116">
        <v>1244</v>
      </c>
      <c r="Y37" s="116">
        <v>1269</v>
      </c>
      <c r="Z37" s="116">
        <v>1345</v>
      </c>
      <c r="AA37" s="116">
        <v>1440</v>
      </c>
      <c r="AB37" s="116">
        <v>1483</v>
      </c>
      <c r="AC37" s="127">
        <v>1527</v>
      </c>
      <c r="AD37" s="213">
        <v>1573</v>
      </c>
      <c r="AE37" s="213">
        <v>1605</v>
      </c>
      <c r="AF37" s="213">
        <v>1637</v>
      </c>
      <c r="AG37" s="7"/>
    </row>
    <row r="38" spans="1:33" ht="12.75" outlineLevel="1">
      <c r="B38" s="178"/>
      <c r="C38" s="178"/>
      <c r="D38" s="178"/>
      <c r="E38" s="178"/>
      <c r="F38" s="178"/>
      <c r="G38" s="178"/>
      <c r="H38" s="178"/>
      <c r="I38" s="865"/>
      <c r="J38" s="893" t="s">
        <v>132</v>
      </c>
      <c r="K38" s="210" t="s">
        <v>133</v>
      </c>
      <c r="L38" s="116">
        <v>332</v>
      </c>
      <c r="M38" s="116">
        <v>552</v>
      </c>
      <c r="N38" s="116">
        <v>506</v>
      </c>
      <c r="O38" s="116">
        <v>556</v>
      </c>
      <c r="P38" s="116">
        <v>746</v>
      </c>
      <c r="Q38" s="116">
        <v>354</v>
      </c>
      <c r="R38" s="116">
        <v>236</v>
      </c>
      <c r="S38" s="116">
        <v>232</v>
      </c>
      <c r="T38" s="116">
        <v>218</v>
      </c>
      <c r="U38" s="116">
        <v>196</v>
      </c>
      <c r="V38" s="116">
        <v>186</v>
      </c>
      <c r="W38" s="127">
        <v>127</v>
      </c>
      <c r="X38" s="116">
        <v>136</v>
      </c>
      <c r="Y38" s="116">
        <v>137</v>
      </c>
      <c r="Z38" s="116">
        <v>143</v>
      </c>
      <c r="AA38" s="116">
        <v>151</v>
      </c>
      <c r="AB38" s="116">
        <v>159</v>
      </c>
      <c r="AC38" s="127">
        <v>162</v>
      </c>
      <c r="AD38" s="213">
        <v>167</v>
      </c>
      <c r="AE38" s="213">
        <v>172</v>
      </c>
      <c r="AF38" s="213">
        <v>179</v>
      </c>
      <c r="AG38" s="7"/>
    </row>
    <row r="39" spans="1:33" ht="12.75" outlineLevel="1">
      <c r="B39" s="178"/>
      <c r="C39" s="178"/>
      <c r="D39" s="178"/>
      <c r="E39" s="178"/>
      <c r="F39" s="178"/>
      <c r="G39" s="178"/>
      <c r="H39" s="178"/>
      <c r="I39" s="865"/>
      <c r="J39" s="866"/>
      <c r="K39" s="210" t="s">
        <v>134</v>
      </c>
      <c r="L39" s="116">
        <v>174</v>
      </c>
      <c r="M39" s="116">
        <v>126</v>
      </c>
      <c r="N39" s="116">
        <v>122</v>
      </c>
      <c r="O39" s="116">
        <v>202</v>
      </c>
      <c r="P39" s="116">
        <v>216</v>
      </c>
      <c r="Q39" s="116">
        <v>232</v>
      </c>
      <c r="R39" s="116">
        <v>110</v>
      </c>
      <c r="S39" s="214">
        <v>196</v>
      </c>
      <c r="T39" s="214">
        <v>202</v>
      </c>
      <c r="U39" s="116">
        <v>218</v>
      </c>
      <c r="V39" s="116">
        <v>171</v>
      </c>
      <c r="W39" s="127">
        <v>101</v>
      </c>
      <c r="X39" s="116">
        <v>103</v>
      </c>
      <c r="Y39" s="116">
        <v>105</v>
      </c>
      <c r="Z39" s="116">
        <v>107</v>
      </c>
      <c r="AA39" s="116">
        <v>110</v>
      </c>
      <c r="AB39" s="116">
        <v>113</v>
      </c>
      <c r="AC39" s="127">
        <v>115</v>
      </c>
      <c r="AD39" s="213">
        <v>118</v>
      </c>
      <c r="AE39" s="213">
        <v>123</v>
      </c>
      <c r="AF39" s="213">
        <v>124</v>
      </c>
      <c r="AG39" s="7"/>
    </row>
    <row r="40" spans="1:33" ht="12.75" outlineLevel="1">
      <c r="B40" s="178"/>
      <c r="C40" s="178"/>
      <c r="D40" s="178"/>
      <c r="E40" s="178"/>
      <c r="F40" s="178"/>
      <c r="G40" s="178"/>
      <c r="H40" s="178"/>
      <c r="I40" s="865"/>
      <c r="J40" s="895" t="s">
        <v>135</v>
      </c>
      <c r="K40" s="217" t="s">
        <v>136</v>
      </c>
      <c r="L40" s="218">
        <v>0</v>
      </c>
      <c r="M40" s="218">
        <v>0</v>
      </c>
      <c r="N40" s="218">
        <v>0</v>
      </c>
      <c r="O40" s="218">
        <v>0</v>
      </c>
      <c r="P40" s="218">
        <v>536</v>
      </c>
      <c r="Q40" s="218">
        <v>560</v>
      </c>
      <c r="R40" s="218">
        <v>312</v>
      </c>
      <c r="S40" s="218">
        <v>348</v>
      </c>
      <c r="T40" s="218">
        <v>428</v>
      </c>
      <c r="U40" s="218">
        <v>1020</v>
      </c>
      <c r="V40" s="218">
        <v>921</v>
      </c>
      <c r="W40" s="241">
        <v>930</v>
      </c>
      <c r="X40" s="218">
        <v>958</v>
      </c>
      <c r="Y40" s="218">
        <v>967</v>
      </c>
      <c r="Z40" s="218">
        <v>977</v>
      </c>
      <c r="AA40" s="218">
        <v>987</v>
      </c>
      <c r="AB40" s="218">
        <v>1007</v>
      </c>
      <c r="AC40" s="241">
        <v>1027</v>
      </c>
      <c r="AD40" s="242">
        <v>1047</v>
      </c>
      <c r="AE40" s="242">
        <v>1068</v>
      </c>
      <c r="AF40" s="242">
        <v>1090</v>
      </c>
      <c r="AG40" s="7"/>
    </row>
    <row r="41" spans="1:33" ht="12.75" outlineLevel="1">
      <c r="B41" s="178"/>
      <c r="C41" s="178"/>
      <c r="D41" s="178"/>
      <c r="E41" s="178"/>
      <c r="F41" s="178"/>
      <c r="G41" s="178"/>
      <c r="H41" s="178"/>
      <c r="I41" s="865"/>
      <c r="J41" s="865"/>
      <c r="K41" s="217" t="s">
        <v>137</v>
      </c>
      <c r="L41" s="218">
        <v>0</v>
      </c>
      <c r="M41" s="218">
        <v>0</v>
      </c>
      <c r="N41" s="218">
        <v>0</v>
      </c>
      <c r="O41" s="218">
        <v>0</v>
      </c>
      <c r="P41" s="218">
        <v>520</v>
      </c>
      <c r="Q41" s="218">
        <v>464</v>
      </c>
      <c r="R41" s="218">
        <v>264</v>
      </c>
      <c r="S41" s="218">
        <v>356</v>
      </c>
      <c r="T41" s="218">
        <v>460</v>
      </c>
      <c r="U41" s="218">
        <v>1012</v>
      </c>
      <c r="V41" s="218">
        <v>1045</v>
      </c>
      <c r="W41" s="241">
        <v>1076</v>
      </c>
      <c r="X41" s="218">
        <v>1108</v>
      </c>
      <c r="Y41" s="218">
        <v>1131</v>
      </c>
      <c r="Z41" s="218">
        <v>1142</v>
      </c>
      <c r="AA41" s="218">
        <v>1153</v>
      </c>
      <c r="AB41" s="218">
        <v>1188</v>
      </c>
      <c r="AC41" s="241">
        <v>1212</v>
      </c>
      <c r="AD41" s="242">
        <v>1236</v>
      </c>
      <c r="AE41" s="242">
        <v>1261</v>
      </c>
      <c r="AF41" s="242">
        <v>1286</v>
      </c>
      <c r="AG41" s="7"/>
    </row>
    <row r="42" spans="1:33" ht="12.75" outlineLevel="1">
      <c r="B42" s="178"/>
      <c r="C42" s="178"/>
      <c r="D42" s="178"/>
      <c r="E42" s="178"/>
      <c r="F42" s="178"/>
      <c r="G42" s="178"/>
      <c r="H42" s="178"/>
      <c r="I42" s="865"/>
      <c r="J42" s="865"/>
      <c r="K42" s="217" t="s">
        <v>138</v>
      </c>
      <c r="L42" s="218">
        <v>0</v>
      </c>
      <c r="M42" s="218">
        <v>0</v>
      </c>
      <c r="N42" s="218">
        <v>0</v>
      </c>
      <c r="O42" s="218">
        <v>0</v>
      </c>
      <c r="P42" s="218">
        <v>784</v>
      </c>
      <c r="Q42" s="218">
        <v>472</v>
      </c>
      <c r="R42" s="218">
        <v>328</v>
      </c>
      <c r="S42" s="218">
        <v>284</v>
      </c>
      <c r="T42" s="218">
        <v>276</v>
      </c>
      <c r="U42" s="218">
        <v>1100</v>
      </c>
      <c r="V42" s="218">
        <v>895</v>
      </c>
      <c r="W42" s="241">
        <v>913</v>
      </c>
      <c r="X42" s="218">
        <v>931</v>
      </c>
      <c r="Y42" s="218">
        <v>950</v>
      </c>
      <c r="Z42" s="218">
        <v>960</v>
      </c>
      <c r="AA42" s="218">
        <v>969</v>
      </c>
      <c r="AB42" s="218">
        <v>998</v>
      </c>
      <c r="AC42" s="241">
        <v>1018</v>
      </c>
      <c r="AD42" s="242">
        <v>1039</v>
      </c>
      <c r="AE42" s="242">
        <v>1059</v>
      </c>
      <c r="AF42" s="242">
        <v>1081</v>
      </c>
      <c r="AG42" s="7"/>
    </row>
    <row r="43" spans="1:33" ht="12.75" outlineLevel="1">
      <c r="B43" s="178"/>
      <c r="C43" s="178"/>
      <c r="D43" s="178"/>
      <c r="E43" s="178"/>
      <c r="F43" s="178"/>
      <c r="G43" s="178"/>
      <c r="H43" s="178"/>
      <c r="I43" s="865"/>
      <c r="J43" s="866"/>
      <c r="K43" s="217" t="s">
        <v>139</v>
      </c>
      <c r="L43" s="218">
        <v>0</v>
      </c>
      <c r="M43" s="218">
        <v>0</v>
      </c>
      <c r="N43" s="218">
        <v>0</v>
      </c>
      <c r="O43" s="218">
        <v>0</v>
      </c>
      <c r="P43" s="218">
        <v>1048</v>
      </c>
      <c r="Q43" s="218">
        <v>376</v>
      </c>
      <c r="R43" s="218">
        <v>384</v>
      </c>
      <c r="S43" s="218">
        <v>212</v>
      </c>
      <c r="T43" s="218">
        <v>324</v>
      </c>
      <c r="U43" s="218">
        <v>1116</v>
      </c>
      <c r="V43" s="218">
        <v>805</v>
      </c>
      <c r="W43" s="241">
        <v>789</v>
      </c>
      <c r="X43" s="218">
        <v>797</v>
      </c>
      <c r="Y43" s="218">
        <v>805</v>
      </c>
      <c r="Z43" s="218">
        <v>813</v>
      </c>
      <c r="AA43" s="218">
        <v>821</v>
      </c>
      <c r="AB43" s="218">
        <v>837</v>
      </c>
      <c r="AC43" s="241">
        <v>854</v>
      </c>
      <c r="AD43" s="242">
        <v>871</v>
      </c>
      <c r="AE43" s="242">
        <v>889</v>
      </c>
      <c r="AF43" s="242">
        <v>906</v>
      </c>
      <c r="AG43" s="7"/>
    </row>
    <row r="44" spans="1:33" ht="12.75" outlineLevel="1">
      <c r="B44" s="178"/>
      <c r="C44" s="178"/>
      <c r="D44" s="178"/>
      <c r="E44" s="178"/>
      <c r="F44" s="178"/>
      <c r="G44" s="178"/>
      <c r="H44" s="178"/>
      <c r="I44" s="866"/>
      <c r="J44" s="909" t="s">
        <v>38</v>
      </c>
      <c r="K44" s="860"/>
      <c r="L44" s="244">
        <f t="shared" ref="L44:AF44" si="6">SUM(L28:L39)</f>
        <v>57902</v>
      </c>
      <c r="M44" s="244">
        <f t="shared" si="6"/>
        <v>50060</v>
      </c>
      <c r="N44" s="244">
        <f t="shared" si="6"/>
        <v>66663</v>
      </c>
      <c r="O44" s="244">
        <f t="shared" si="6"/>
        <v>79257</v>
      </c>
      <c r="P44" s="244">
        <f t="shared" si="6"/>
        <v>66391</v>
      </c>
      <c r="Q44" s="244">
        <f t="shared" si="6"/>
        <v>24854</v>
      </c>
      <c r="R44" s="244">
        <f t="shared" si="6"/>
        <v>19334.099999999999</v>
      </c>
      <c r="S44" s="244">
        <f t="shared" si="6"/>
        <v>19363</v>
      </c>
      <c r="T44" s="244">
        <f t="shared" si="6"/>
        <v>21659</v>
      </c>
      <c r="U44" s="244">
        <f t="shared" si="6"/>
        <v>21133</v>
      </c>
      <c r="V44" s="244">
        <f t="shared" si="6"/>
        <v>20755</v>
      </c>
      <c r="W44" s="245">
        <f t="shared" si="6"/>
        <v>20333</v>
      </c>
      <c r="X44" s="244">
        <f t="shared" si="6"/>
        <v>21201</v>
      </c>
      <c r="Y44" s="244">
        <f t="shared" si="6"/>
        <v>21541</v>
      </c>
      <c r="Z44" s="244">
        <f t="shared" si="6"/>
        <v>22915</v>
      </c>
      <c r="AA44" s="244">
        <f t="shared" si="6"/>
        <v>24000</v>
      </c>
      <c r="AB44" s="244">
        <f t="shared" si="6"/>
        <v>24738</v>
      </c>
      <c r="AC44" s="245">
        <f t="shared" si="6"/>
        <v>25293</v>
      </c>
      <c r="AD44" s="246">
        <f t="shared" si="6"/>
        <v>26334</v>
      </c>
      <c r="AE44" s="246">
        <f t="shared" si="6"/>
        <v>27284</v>
      </c>
      <c r="AF44" s="246">
        <f t="shared" si="6"/>
        <v>27920</v>
      </c>
      <c r="AG44" s="7"/>
    </row>
    <row r="45" spans="1:33" ht="12.75">
      <c r="B45" s="178"/>
      <c r="C45" s="178"/>
      <c r="D45" s="178"/>
      <c r="E45" s="178"/>
      <c r="F45" s="178"/>
      <c r="G45" s="178"/>
      <c r="H45" s="178"/>
      <c r="I45" s="247"/>
      <c r="J45" s="248"/>
      <c r="K45" s="248"/>
      <c r="AG45" s="7"/>
    </row>
    <row r="46" spans="1:33" ht="12.75">
      <c r="A46" s="178"/>
      <c r="B46" s="178"/>
      <c r="C46" s="249"/>
      <c r="D46" s="178"/>
      <c r="E46" s="178"/>
      <c r="F46" s="178"/>
      <c r="G46" s="178"/>
      <c r="H46" s="178"/>
      <c r="I46" s="247"/>
      <c r="J46" s="248"/>
      <c r="K46" s="248"/>
      <c r="AG46" s="7"/>
    </row>
    <row r="47" spans="1:33" ht="12.75">
      <c r="A47" s="107"/>
      <c r="B47" s="107"/>
      <c r="C47" s="108" t="s">
        <v>53</v>
      </c>
      <c r="D47" s="107" t="s">
        <v>50</v>
      </c>
      <c r="E47" s="107"/>
      <c r="F47" s="178"/>
      <c r="G47" s="178"/>
      <c r="H47" s="178"/>
      <c r="I47" s="894" t="s">
        <v>51</v>
      </c>
      <c r="J47" s="879"/>
      <c r="K47" s="860"/>
      <c r="L47" s="250" t="s">
        <v>14</v>
      </c>
      <c r="M47" s="250" t="s">
        <v>15</v>
      </c>
      <c r="N47" s="250" t="s">
        <v>16</v>
      </c>
      <c r="O47" s="250" t="s">
        <v>17</v>
      </c>
      <c r="P47" s="250" t="s">
        <v>18</v>
      </c>
      <c r="Q47" s="250" t="s">
        <v>19</v>
      </c>
      <c r="R47" s="250" t="s">
        <v>20</v>
      </c>
      <c r="S47" s="250" t="s">
        <v>21</v>
      </c>
      <c r="T47" s="250" t="s">
        <v>22</v>
      </c>
      <c r="U47" s="250" t="s">
        <v>23</v>
      </c>
      <c r="V47" s="250" t="s">
        <v>107</v>
      </c>
      <c r="W47" s="251" t="s">
        <v>25</v>
      </c>
      <c r="X47" s="250" t="s">
        <v>26</v>
      </c>
      <c r="Y47" s="250" t="s">
        <v>15</v>
      </c>
      <c r="Z47" s="250" t="s">
        <v>16</v>
      </c>
      <c r="AA47" s="250" t="s">
        <v>17</v>
      </c>
      <c r="AB47" s="250" t="s">
        <v>18</v>
      </c>
      <c r="AC47" s="251" t="s">
        <v>19</v>
      </c>
      <c r="AD47" s="252" t="s">
        <v>20</v>
      </c>
      <c r="AE47" s="253" t="s">
        <v>21</v>
      </c>
      <c r="AF47" s="253" t="s">
        <v>22</v>
      </c>
      <c r="AG47" s="7"/>
    </row>
    <row r="48" spans="1:33" ht="12.75">
      <c r="A48" s="900" t="s">
        <v>27</v>
      </c>
      <c r="B48" s="254" t="s">
        <v>110</v>
      </c>
      <c r="C48" s="255">
        <v>3283</v>
      </c>
      <c r="D48" s="256">
        <f>C48-(W28/31*11)</f>
        <v>3210.2580645161288</v>
      </c>
      <c r="E48" s="256">
        <f t="shared" ref="E48:E63" si="7">D48-W48</f>
        <v>11.258064516128798</v>
      </c>
      <c r="F48" s="178"/>
      <c r="G48" s="178"/>
      <c r="H48" s="178"/>
      <c r="I48" s="911" t="s">
        <v>140</v>
      </c>
      <c r="J48" s="891" t="s">
        <v>27</v>
      </c>
      <c r="K48" s="190" t="s">
        <v>110</v>
      </c>
      <c r="L48" s="116">
        <v>4054</v>
      </c>
      <c r="M48" s="116">
        <v>3567</v>
      </c>
      <c r="N48" s="116">
        <v>3474</v>
      </c>
      <c r="O48" s="116">
        <v>3043</v>
      </c>
      <c r="P48" s="116">
        <f>3566-1757</f>
        <v>1809</v>
      </c>
      <c r="Q48" s="116">
        <f>3905-1757</f>
        <v>2148</v>
      </c>
      <c r="R48" s="116">
        <v>2260</v>
      </c>
      <c r="S48" s="116">
        <v>2120.4</v>
      </c>
      <c r="T48" s="116">
        <v>3664</v>
      </c>
      <c r="U48" s="116">
        <v>3517.4</v>
      </c>
      <c r="V48" s="116">
        <v>3404</v>
      </c>
      <c r="W48" s="212">
        <f t="shared" ref="W48:AF48" si="8">V48+W6-W28</f>
        <v>3199</v>
      </c>
      <c r="X48" s="116">
        <f t="shared" si="8"/>
        <v>2986</v>
      </c>
      <c r="Y48" s="116">
        <f t="shared" si="8"/>
        <v>2777</v>
      </c>
      <c r="Z48" s="116">
        <f t="shared" si="8"/>
        <v>2535</v>
      </c>
      <c r="AA48" s="116">
        <f t="shared" si="8"/>
        <v>2259</v>
      </c>
      <c r="AB48" s="116">
        <f t="shared" si="8"/>
        <v>1950</v>
      </c>
      <c r="AC48" s="212">
        <f t="shared" si="8"/>
        <v>1613</v>
      </c>
      <c r="AD48" s="257">
        <f t="shared" si="8"/>
        <v>1255</v>
      </c>
      <c r="AE48" s="116">
        <f t="shared" si="8"/>
        <v>880</v>
      </c>
      <c r="AF48" s="116">
        <f t="shared" si="8"/>
        <v>490</v>
      </c>
      <c r="AG48" s="7"/>
    </row>
    <row r="49" spans="1:33" ht="12.75">
      <c r="A49" s="865"/>
      <c r="B49" s="254">
        <v>1</v>
      </c>
      <c r="C49" s="255">
        <v>9067</v>
      </c>
      <c r="D49" s="256">
        <f t="shared" ref="D49:D63" si="9">C49-(V29/31*9)</f>
        <v>8881.7741935483864</v>
      </c>
      <c r="E49" s="256">
        <f t="shared" si="7"/>
        <v>135.77419354838639</v>
      </c>
      <c r="F49" s="178"/>
      <c r="G49" s="178"/>
      <c r="H49" s="178"/>
      <c r="I49" s="865"/>
      <c r="J49" s="865"/>
      <c r="K49" s="190">
        <v>1</v>
      </c>
      <c r="L49" s="116">
        <v>1301</v>
      </c>
      <c r="M49" s="116">
        <v>0</v>
      </c>
      <c r="N49" s="116">
        <v>1282</v>
      </c>
      <c r="O49" s="116">
        <v>4934</v>
      </c>
      <c r="P49" s="116">
        <v>6187</v>
      </c>
      <c r="Q49" s="116">
        <v>7713</v>
      </c>
      <c r="R49" s="116">
        <v>8663</v>
      </c>
      <c r="S49" s="116">
        <v>7949.2</v>
      </c>
      <c r="T49" s="116">
        <v>10902</v>
      </c>
      <c r="U49" s="116">
        <v>10107.066666666668</v>
      </c>
      <c r="V49" s="116">
        <v>9670</v>
      </c>
      <c r="W49" s="212">
        <f t="shared" ref="W49:AF49" si="10">V49+W7-W29</f>
        <v>8746</v>
      </c>
      <c r="X49" s="116">
        <f t="shared" si="10"/>
        <v>7804</v>
      </c>
      <c r="Y49" s="116">
        <f t="shared" si="10"/>
        <v>6871</v>
      </c>
      <c r="Z49" s="116">
        <f t="shared" si="10"/>
        <v>5882</v>
      </c>
      <c r="AA49" s="116">
        <f t="shared" si="10"/>
        <v>4844</v>
      </c>
      <c r="AB49" s="116">
        <f t="shared" si="10"/>
        <v>3764</v>
      </c>
      <c r="AC49" s="212">
        <f t="shared" si="10"/>
        <v>2652</v>
      </c>
      <c r="AD49" s="257">
        <f t="shared" si="10"/>
        <v>1517</v>
      </c>
      <c r="AE49" s="116">
        <f t="shared" si="10"/>
        <v>348</v>
      </c>
      <c r="AF49" s="116">
        <f t="shared" si="10"/>
        <v>-844</v>
      </c>
      <c r="AG49" s="7"/>
    </row>
    <row r="50" spans="1:33" ht="12.75">
      <c r="A50" s="865"/>
      <c r="B50" s="254" t="s">
        <v>119</v>
      </c>
      <c r="C50" s="255">
        <v>5512</v>
      </c>
      <c r="D50" s="256">
        <f t="shared" si="9"/>
        <v>5424.9032258064517</v>
      </c>
      <c r="E50" s="256">
        <f t="shared" si="7"/>
        <v>50.903225806451701</v>
      </c>
      <c r="F50" s="178"/>
      <c r="G50" s="178"/>
      <c r="H50" s="178"/>
      <c r="I50" s="865"/>
      <c r="J50" s="865"/>
      <c r="K50" s="190" t="s">
        <v>119</v>
      </c>
      <c r="L50" s="116">
        <v>13865</v>
      </c>
      <c r="M50" s="116">
        <v>11903</v>
      </c>
      <c r="N50" s="116">
        <v>10128</v>
      </c>
      <c r="O50" s="116">
        <v>8377</v>
      </c>
      <c r="P50" s="116">
        <v>14109</v>
      </c>
      <c r="Q50" s="116">
        <v>0</v>
      </c>
      <c r="R50" s="116">
        <v>0</v>
      </c>
      <c r="S50" s="116">
        <v>-2.6666666666666668E-2</v>
      </c>
      <c r="T50" s="116">
        <v>6326</v>
      </c>
      <c r="U50" s="116">
        <v>6061.4666666666662</v>
      </c>
      <c r="V50" s="116">
        <v>5755</v>
      </c>
      <c r="W50" s="212">
        <f t="shared" ref="W50:AD50" si="11">V50+W8-W30</f>
        <v>5374</v>
      </c>
      <c r="X50" s="116">
        <f t="shared" si="11"/>
        <v>12153</v>
      </c>
      <c r="Y50" s="116">
        <f t="shared" si="11"/>
        <v>11712</v>
      </c>
      <c r="Z50" s="116">
        <f t="shared" si="11"/>
        <v>11241</v>
      </c>
      <c r="AA50" s="116">
        <f t="shared" si="11"/>
        <v>10746</v>
      </c>
      <c r="AB50" s="116">
        <f t="shared" si="11"/>
        <v>10261</v>
      </c>
      <c r="AC50" s="212">
        <f t="shared" si="11"/>
        <v>9766</v>
      </c>
      <c r="AD50" s="257">
        <f t="shared" si="11"/>
        <v>9167</v>
      </c>
      <c r="AE50" s="214">
        <f>AD50+AE8-AE30-1900</f>
        <v>6507</v>
      </c>
      <c r="AF50" s="116">
        <f>AE50+AF8-AF30</f>
        <v>5709</v>
      </c>
      <c r="AG50" s="7"/>
    </row>
    <row r="51" spans="1:33" ht="12.75">
      <c r="A51" s="865"/>
      <c r="B51" s="254">
        <v>2</v>
      </c>
      <c r="C51" s="255">
        <v>4933</v>
      </c>
      <c r="D51" s="256">
        <f t="shared" si="9"/>
        <v>4598.8387096774195</v>
      </c>
      <c r="E51" s="256">
        <f t="shared" si="7"/>
        <v>59.838709677419502</v>
      </c>
      <c r="F51" s="178"/>
      <c r="G51" s="178"/>
      <c r="H51" s="178"/>
      <c r="I51" s="865"/>
      <c r="J51" s="865"/>
      <c r="K51" s="190">
        <v>2</v>
      </c>
      <c r="L51" s="116">
        <v>6730</v>
      </c>
      <c r="M51" s="116">
        <v>5473</v>
      </c>
      <c r="N51" s="116">
        <v>4249</v>
      </c>
      <c r="O51" s="116">
        <v>2605</v>
      </c>
      <c r="P51" s="116">
        <v>2356</v>
      </c>
      <c r="Q51" s="116">
        <v>2446</v>
      </c>
      <c r="R51" s="116">
        <v>2511</v>
      </c>
      <c r="S51" s="116">
        <v>1161.6666666666667</v>
      </c>
      <c r="T51" s="116">
        <v>7697</v>
      </c>
      <c r="U51" s="116">
        <v>6510.2</v>
      </c>
      <c r="V51" s="116">
        <v>5552</v>
      </c>
      <c r="W51" s="212">
        <f t="shared" ref="W51:AF51" si="12">V51+W9-W31</f>
        <v>4539</v>
      </c>
      <c r="X51" s="116">
        <f t="shared" si="12"/>
        <v>3506</v>
      </c>
      <c r="Y51" s="116">
        <f t="shared" si="12"/>
        <v>2493</v>
      </c>
      <c r="Z51" s="116">
        <f t="shared" si="12"/>
        <v>1440</v>
      </c>
      <c r="AA51" s="116">
        <f t="shared" si="12"/>
        <v>355</v>
      </c>
      <c r="AB51" s="116">
        <f t="shared" si="12"/>
        <v>-719</v>
      </c>
      <c r="AC51" s="127">
        <f t="shared" si="12"/>
        <v>-1761</v>
      </c>
      <c r="AD51" s="257">
        <f t="shared" si="12"/>
        <v>-2959</v>
      </c>
      <c r="AE51" s="116">
        <f t="shared" si="12"/>
        <v>-4229</v>
      </c>
      <c r="AF51" s="116">
        <f t="shared" si="12"/>
        <v>-5537</v>
      </c>
      <c r="AG51" s="7"/>
    </row>
    <row r="52" spans="1:33" ht="12.75">
      <c r="A52" s="865"/>
      <c r="B52" s="254" t="s">
        <v>124</v>
      </c>
      <c r="C52" s="255">
        <v>25730</v>
      </c>
      <c r="D52" s="256">
        <f t="shared" si="9"/>
        <v>25562.483870967742</v>
      </c>
      <c r="E52" s="256">
        <f t="shared" si="7"/>
        <v>74.483870967742405</v>
      </c>
      <c r="F52" s="178"/>
      <c r="G52" s="178"/>
      <c r="H52" s="178"/>
      <c r="I52" s="865"/>
      <c r="J52" s="865"/>
      <c r="K52" s="190" t="s">
        <v>124</v>
      </c>
      <c r="L52" s="116">
        <v>14739</v>
      </c>
      <c r="M52" s="116">
        <v>12610</v>
      </c>
      <c r="N52" s="116">
        <v>10681</v>
      </c>
      <c r="O52" s="116">
        <v>8444</v>
      </c>
      <c r="P52" s="116">
        <v>12969</v>
      </c>
      <c r="Q52" s="116">
        <v>10211</v>
      </c>
      <c r="R52" s="116">
        <v>11645</v>
      </c>
      <c r="S52" s="116">
        <v>11002.466666666667</v>
      </c>
      <c r="T52" s="116">
        <v>22295</v>
      </c>
      <c r="U52" s="116">
        <v>26586.400000000001</v>
      </c>
      <c r="V52" s="116">
        <v>26051</v>
      </c>
      <c r="W52" s="212">
        <f t="shared" ref="W52:Z52" si="13">V52+W10-W32</f>
        <v>25488</v>
      </c>
      <c r="X52" s="116">
        <f t="shared" si="13"/>
        <v>24807</v>
      </c>
      <c r="Y52" s="116">
        <f t="shared" si="13"/>
        <v>24153</v>
      </c>
      <c r="Z52" s="116">
        <f t="shared" si="13"/>
        <v>23414</v>
      </c>
      <c r="AA52" s="214">
        <f>Z52+AA10-AA32-600</f>
        <v>22031</v>
      </c>
      <c r="AB52" s="214">
        <f>AA52+AB10-AB32-4500</f>
        <v>16763</v>
      </c>
      <c r="AC52" s="258">
        <f t="shared" ref="AC52:AD52" si="14">AB52+AC10-AC32</f>
        <v>16011</v>
      </c>
      <c r="AD52" s="257">
        <f t="shared" si="14"/>
        <v>15161</v>
      </c>
      <c r="AE52" s="214">
        <f>AD52+AE10-AE32-9300</f>
        <v>4866</v>
      </c>
      <c r="AF52" s="214">
        <f>AE52+AF10-AF32-3900</f>
        <v>-58</v>
      </c>
      <c r="AG52" s="7"/>
    </row>
    <row r="53" spans="1:33" ht="12.75">
      <c r="A53" s="866"/>
      <c r="B53" s="254">
        <v>3</v>
      </c>
      <c r="C53" s="255">
        <v>3457</v>
      </c>
      <c r="D53" s="256">
        <f t="shared" si="9"/>
        <v>3366.7096774193546</v>
      </c>
      <c r="E53" s="256">
        <f t="shared" si="7"/>
        <v>84.709677419354648</v>
      </c>
      <c r="F53" s="178"/>
      <c r="G53" s="178"/>
      <c r="H53" s="178"/>
      <c r="I53" s="865"/>
      <c r="J53" s="866"/>
      <c r="K53" s="190">
        <v>3</v>
      </c>
      <c r="L53" s="116">
        <v>29</v>
      </c>
      <c r="M53" s="116">
        <v>0</v>
      </c>
      <c r="N53" s="116">
        <v>1195</v>
      </c>
      <c r="O53" s="116">
        <v>857</v>
      </c>
      <c r="P53" s="116">
        <v>298</v>
      </c>
      <c r="Q53" s="116">
        <v>540</v>
      </c>
      <c r="R53" s="116">
        <v>240</v>
      </c>
      <c r="S53" s="116">
        <v>0</v>
      </c>
      <c r="T53" s="116">
        <v>4365</v>
      </c>
      <c r="U53" s="116">
        <v>4136.5333333333338</v>
      </c>
      <c r="V53" s="116">
        <v>3724</v>
      </c>
      <c r="W53" s="212">
        <f t="shared" ref="W53:AF53" si="15">V53+W11-W33</f>
        <v>3282</v>
      </c>
      <c r="X53" s="116">
        <f t="shared" si="15"/>
        <v>2836</v>
      </c>
      <c r="Y53" s="116">
        <f t="shared" si="15"/>
        <v>2385</v>
      </c>
      <c r="Z53" s="116">
        <f t="shared" si="15"/>
        <v>1925</v>
      </c>
      <c r="AA53" s="116">
        <f t="shared" si="15"/>
        <v>1456</v>
      </c>
      <c r="AB53" s="116">
        <f t="shared" si="15"/>
        <v>982</v>
      </c>
      <c r="AC53" s="212">
        <f t="shared" si="15"/>
        <v>499</v>
      </c>
      <c r="AD53" s="257">
        <f t="shared" si="15"/>
        <v>11</v>
      </c>
      <c r="AE53" s="116">
        <f t="shared" si="15"/>
        <v>-487</v>
      </c>
      <c r="AF53" s="116">
        <f t="shared" si="15"/>
        <v>-995</v>
      </c>
      <c r="AG53" s="7"/>
    </row>
    <row r="54" spans="1:33" ht="12.75">
      <c r="A54" s="901" t="s">
        <v>32</v>
      </c>
      <c r="B54" s="259" t="s">
        <v>110</v>
      </c>
      <c r="C54" s="255">
        <v>46134</v>
      </c>
      <c r="D54" s="256">
        <f t="shared" si="9"/>
        <v>45390.483870967742</v>
      </c>
      <c r="E54" s="256">
        <f t="shared" si="7"/>
        <v>325.4838709677424</v>
      </c>
      <c r="F54" s="178"/>
      <c r="G54" s="178"/>
      <c r="H54" s="178"/>
      <c r="I54" s="865"/>
      <c r="J54" s="892" t="s">
        <v>32</v>
      </c>
      <c r="K54" s="205" t="s">
        <v>110</v>
      </c>
      <c r="L54" s="116">
        <v>13157</v>
      </c>
      <c r="M54" s="116">
        <v>18869</v>
      </c>
      <c r="N54" s="116">
        <v>18706</v>
      </c>
      <c r="O54" s="116">
        <v>31891</v>
      </c>
      <c r="P54" s="116">
        <v>37421</v>
      </c>
      <c r="Q54" s="116">
        <v>29421</v>
      </c>
      <c r="R54" s="116">
        <v>26829</v>
      </c>
      <c r="S54" s="116">
        <v>53192.666666666664</v>
      </c>
      <c r="T54" s="116">
        <v>51109</v>
      </c>
      <c r="U54" s="116">
        <v>50129.466666666667</v>
      </c>
      <c r="V54" s="116">
        <v>47814</v>
      </c>
      <c r="W54" s="212">
        <f t="shared" ref="W54:AF54" si="16">V54+W12-W34</f>
        <v>45065</v>
      </c>
      <c r="X54" s="116">
        <f t="shared" si="16"/>
        <v>42206</v>
      </c>
      <c r="Y54" s="116">
        <f t="shared" si="16"/>
        <v>39290</v>
      </c>
      <c r="Z54" s="116">
        <f t="shared" si="16"/>
        <v>36141</v>
      </c>
      <c r="AA54" s="116">
        <f t="shared" si="16"/>
        <v>32834</v>
      </c>
      <c r="AB54" s="116">
        <f t="shared" si="16"/>
        <v>29395</v>
      </c>
      <c r="AC54" s="212">
        <f t="shared" si="16"/>
        <v>25853</v>
      </c>
      <c r="AD54" s="257">
        <f t="shared" si="16"/>
        <v>22204</v>
      </c>
      <c r="AE54" s="116">
        <f t="shared" si="16"/>
        <v>18409</v>
      </c>
      <c r="AF54" s="116">
        <f t="shared" si="16"/>
        <v>14501</v>
      </c>
      <c r="AG54" s="7"/>
    </row>
    <row r="55" spans="1:33" ht="12.75">
      <c r="A55" s="865"/>
      <c r="B55" s="259">
        <v>1</v>
      </c>
      <c r="C55" s="255">
        <v>76043</v>
      </c>
      <c r="D55" s="256">
        <f t="shared" si="9"/>
        <v>74545.806451612909</v>
      </c>
      <c r="E55" s="256">
        <f t="shared" si="7"/>
        <v>618.80645161290886</v>
      </c>
      <c r="F55" s="178"/>
      <c r="G55" s="178"/>
      <c r="H55" s="178"/>
      <c r="I55" s="865"/>
      <c r="J55" s="865"/>
      <c r="K55" s="205">
        <v>1</v>
      </c>
      <c r="L55" s="116">
        <v>43963</v>
      </c>
      <c r="M55" s="116">
        <v>32815</v>
      </c>
      <c r="N55" s="116">
        <v>33370</v>
      </c>
      <c r="O55" s="116">
        <v>90234</v>
      </c>
      <c r="P55" s="116">
        <v>91523</v>
      </c>
      <c r="Q55" s="116">
        <v>62384</v>
      </c>
      <c r="R55" s="116">
        <v>57177</v>
      </c>
      <c r="S55" s="116">
        <v>82326.8</v>
      </c>
      <c r="T55" s="116">
        <v>77809</v>
      </c>
      <c r="U55" s="116">
        <v>83630.933333333334</v>
      </c>
      <c r="V55" s="116">
        <v>79347</v>
      </c>
      <c r="W55" s="212">
        <f t="shared" ref="W55:AF55" si="17">V55+W13-W35</f>
        <v>73927</v>
      </c>
      <c r="X55" s="116">
        <f t="shared" si="17"/>
        <v>68399</v>
      </c>
      <c r="Y55" s="116">
        <f t="shared" si="17"/>
        <v>62760</v>
      </c>
      <c r="Z55" s="116">
        <f t="shared" si="17"/>
        <v>56783</v>
      </c>
      <c r="AA55" s="116">
        <f t="shared" si="17"/>
        <v>50507</v>
      </c>
      <c r="AB55" s="116">
        <f t="shared" si="17"/>
        <v>43980</v>
      </c>
      <c r="AC55" s="212">
        <f t="shared" si="17"/>
        <v>37257</v>
      </c>
      <c r="AD55" s="257">
        <f t="shared" si="17"/>
        <v>30332</v>
      </c>
      <c r="AE55" s="116">
        <f t="shared" si="17"/>
        <v>23269</v>
      </c>
      <c r="AF55" s="116">
        <f t="shared" si="17"/>
        <v>16065</v>
      </c>
      <c r="AG55" s="7"/>
    </row>
    <row r="56" spans="1:33" ht="12.75">
      <c r="A56" s="865"/>
      <c r="B56" s="259">
        <v>2</v>
      </c>
      <c r="C56" s="255">
        <v>113739</v>
      </c>
      <c r="D56" s="256">
        <f t="shared" si="9"/>
        <v>111367.35483870968</v>
      </c>
      <c r="E56" s="256">
        <f t="shared" si="7"/>
        <v>661.35483870968164</v>
      </c>
      <c r="F56" s="178"/>
      <c r="G56" s="178"/>
      <c r="H56" s="178"/>
      <c r="I56" s="865"/>
      <c r="J56" s="865"/>
      <c r="K56" s="205">
        <v>2</v>
      </c>
      <c r="L56" s="116">
        <v>24590</v>
      </c>
      <c r="M56" s="116">
        <v>54489</v>
      </c>
      <c r="N56" s="116">
        <v>75119</v>
      </c>
      <c r="O56" s="116">
        <v>85815</v>
      </c>
      <c r="P56" s="116">
        <v>85573</v>
      </c>
      <c r="Q56" s="116">
        <v>106498</v>
      </c>
      <c r="R56" s="116">
        <v>104606</v>
      </c>
      <c r="S56" s="116">
        <v>129815.26666666666</v>
      </c>
      <c r="T56" s="116">
        <v>119550</v>
      </c>
      <c r="U56" s="116">
        <v>127811.2</v>
      </c>
      <c r="V56" s="116">
        <v>117894</v>
      </c>
      <c r="W56" s="212">
        <f t="shared" ref="W56:AF56" si="18">V56+W14-W36</f>
        <v>110706</v>
      </c>
      <c r="X56" s="116">
        <f t="shared" si="18"/>
        <v>103159</v>
      </c>
      <c r="Y56" s="116">
        <f t="shared" si="18"/>
        <v>95385</v>
      </c>
      <c r="Z56" s="116">
        <f t="shared" si="18"/>
        <v>87145</v>
      </c>
      <c r="AA56" s="116">
        <f t="shared" si="18"/>
        <v>78575</v>
      </c>
      <c r="AB56" s="116">
        <f t="shared" si="18"/>
        <v>69748</v>
      </c>
      <c r="AC56" s="212">
        <f t="shared" si="18"/>
        <v>60745</v>
      </c>
      <c r="AD56" s="257">
        <f t="shared" si="18"/>
        <v>51471</v>
      </c>
      <c r="AE56" s="116">
        <f t="shared" si="18"/>
        <v>42012</v>
      </c>
      <c r="AF56" s="116">
        <f t="shared" si="18"/>
        <v>32364</v>
      </c>
      <c r="AG56" s="7"/>
    </row>
    <row r="57" spans="1:33" ht="12.75">
      <c r="A57" s="866"/>
      <c r="B57" s="259" t="s">
        <v>131</v>
      </c>
      <c r="C57" s="255">
        <v>16471</v>
      </c>
      <c r="D57" s="256">
        <f t="shared" si="9"/>
        <v>16066.870967741936</v>
      </c>
      <c r="E57" s="256">
        <f t="shared" si="7"/>
        <v>117.8709677419356</v>
      </c>
      <c r="F57" s="178"/>
      <c r="G57" s="178"/>
      <c r="H57" s="178"/>
      <c r="I57" s="865"/>
      <c r="J57" s="866"/>
      <c r="K57" s="205" t="s">
        <v>131</v>
      </c>
      <c r="L57" s="116">
        <v>4250</v>
      </c>
      <c r="M57" s="116">
        <v>6898</v>
      </c>
      <c r="N57" s="116">
        <v>7529</v>
      </c>
      <c r="O57" s="116">
        <v>13264</v>
      </c>
      <c r="P57" s="116">
        <v>14341</v>
      </c>
      <c r="Q57" s="116">
        <v>15055</v>
      </c>
      <c r="R57" s="116">
        <v>17143</v>
      </c>
      <c r="S57" s="116">
        <v>17751.733333333334</v>
      </c>
      <c r="T57" s="116">
        <v>16395</v>
      </c>
      <c r="U57" s="116">
        <v>18375</v>
      </c>
      <c r="V57" s="116">
        <v>17169</v>
      </c>
      <c r="W57" s="212">
        <f t="shared" ref="W57:AF57" si="19">V57+W15-W37</f>
        <v>15949</v>
      </c>
      <c r="X57" s="116">
        <f t="shared" si="19"/>
        <v>14705</v>
      </c>
      <c r="Y57" s="116">
        <f t="shared" si="19"/>
        <v>13436</v>
      </c>
      <c r="Z57" s="116">
        <f t="shared" si="19"/>
        <v>12091</v>
      </c>
      <c r="AA57" s="116">
        <f t="shared" si="19"/>
        <v>10651</v>
      </c>
      <c r="AB57" s="116">
        <f t="shared" si="19"/>
        <v>9168</v>
      </c>
      <c r="AC57" s="212">
        <f t="shared" si="19"/>
        <v>7641</v>
      </c>
      <c r="AD57" s="257">
        <f t="shared" si="19"/>
        <v>6068</v>
      </c>
      <c r="AE57" s="116">
        <f t="shared" si="19"/>
        <v>4463</v>
      </c>
      <c r="AF57" s="116">
        <f t="shared" si="19"/>
        <v>2826</v>
      </c>
      <c r="AG57" s="7"/>
    </row>
    <row r="58" spans="1:33" ht="12.75">
      <c r="A58" s="902" t="s">
        <v>132</v>
      </c>
      <c r="B58" s="260" t="s">
        <v>133</v>
      </c>
      <c r="C58" s="255">
        <v>2903</v>
      </c>
      <c r="D58" s="256">
        <f t="shared" si="9"/>
        <v>2849</v>
      </c>
      <c r="E58" s="256">
        <f t="shared" si="7"/>
        <v>-9</v>
      </c>
      <c r="F58" s="178"/>
      <c r="G58" s="178"/>
      <c r="H58" s="178"/>
      <c r="I58" s="865"/>
      <c r="J58" s="893" t="s">
        <v>132</v>
      </c>
      <c r="K58" s="210" t="s">
        <v>133</v>
      </c>
      <c r="L58" s="116">
        <v>2648</v>
      </c>
      <c r="M58" s="116">
        <v>3114</v>
      </c>
      <c r="N58" s="116">
        <v>2602</v>
      </c>
      <c r="O58" s="116">
        <v>2045</v>
      </c>
      <c r="P58" s="116">
        <v>1299</v>
      </c>
      <c r="Q58" s="116">
        <v>945</v>
      </c>
      <c r="R58" s="116">
        <v>709</v>
      </c>
      <c r="S58" s="116">
        <v>467.5333333333333</v>
      </c>
      <c r="T58" s="116">
        <v>259</v>
      </c>
      <c r="U58" s="116">
        <v>3100.2</v>
      </c>
      <c r="V58" s="116">
        <v>2985</v>
      </c>
      <c r="W58" s="212">
        <f t="shared" ref="W58:AF58" si="20">V58+W16-W38</f>
        <v>2858</v>
      </c>
      <c r="X58" s="116">
        <f t="shared" si="20"/>
        <v>2722</v>
      </c>
      <c r="Y58" s="116">
        <f t="shared" si="20"/>
        <v>2585</v>
      </c>
      <c r="Z58" s="116">
        <f t="shared" si="20"/>
        <v>2442</v>
      </c>
      <c r="AA58" s="116">
        <f t="shared" si="20"/>
        <v>2291</v>
      </c>
      <c r="AB58" s="116">
        <f t="shared" si="20"/>
        <v>2132</v>
      </c>
      <c r="AC58" s="212">
        <f t="shared" si="20"/>
        <v>1970</v>
      </c>
      <c r="AD58" s="257">
        <f t="shared" si="20"/>
        <v>1803</v>
      </c>
      <c r="AE58" s="116">
        <f t="shared" si="20"/>
        <v>1631</v>
      </c>
      <c r="AF58" s="116">
        <f t="shared" si="20"/>
        <v>1452</v>
      </c>
      <c r="AG58" s="7"/>
    </row>
    <row r="59" spans="1:33" ht="12.75">
      <c r="A59" s="866"/>
      <c r="B59" s="260" t="s">
        <v>134</v>
      </c>
      <c r="C59" s="255">
        <v>735</v>
      </c>
      <c r="D59" s="256">
        <f t="shared" si="9"/>
        <v>685.35483870967744</v>
      </c>
      <c r="E59" s="256">
        <f t="shared" si="7"/>
        <v>-20.645161290322562</v>
      </c>
      <c r="F59" s="178"/>
      <c r="G59" s="178"/>
      <c r="H59" s="178"/>
      <c r="I59" s="865"/>
      <c r="J59" s="866"/>
      <c r="K59" s="210" t="s">
        <v>134</v>
      </c>
      <c r="L59" s="116">
        <v>548</v>
      </c>
      <c r="M59" s="116">
        <v>422</v>
      </c>
      <c r="N59" s="116">
        <v>1326</v>
      </c>
      <c r="O59" s="116">
        <v>2131</v>
      </c>
      <c r="P59" s="116">
        <v>1915</v>
      </c>
      <c r="Q59" s="116">
        <v>1683</v>
      </c>
      <c r="R59" s="116">
        <v>1573</v>
      </c>
      <c r="S59" s="116">
        <v>1417.5333333333333</v>
      </c>
      <c r="T59" s="116">
        <v>1175</v>
      </c>
      <c r="U59" s="116">
        <v>965.93333333333328</v>
      </c>
      <c r="V59" s="116">
        <v>807</v>
      </c>
      <c r="W59" s="212">
        <f t="shared" ref="W59:AF59" si="21">V59+W17-W39</f>
        <v>706</v>
      </c>
      <c r="X59" s="116">
        <f t="shared" si="21"/>
        <v>603</v>
      </c>
      <c r="Y59" s="116">
        <f t="shared" si="21"/>
        <v>498</v>
      </c>
      <c r="Z59" s="116">
        <f t="shared" si="21"/>
        <v>391</v>
      </c>
      <c r="AA59" s="116">
        <f t="shared" si="21"/>
        <v>1289</v>
      </c>
      <c r="AB59" s="116">
        <f t="shared" si="21"/>
        <v>1176</v>
      </c>
      <c r="AC59" s="212">
        <f t="shared" si="21"/>
        <v>1061</v>
      </c>
      <c r="AD59" s="257">
        <f t="shared" si="21"/>
        <v>943</v>
      </c>
      <c r="AE59" s="116">
        <f t="shared" si="21"/>
        <v>820</v>
      </c>
      <c r="AF59" s="116">
        <f t="shared" si="21"/>
        <v>696</v>
      </c>
      <c r="AG59" s="7"/>
    </row>
    <row r="60" spans="1:33" ht="12.75">
      <c r="A60" s="903" t="s">
        <v>135</v>
      </c>
      <c r="B60" s="261" t="s">
        <v>136</v>
      </c>
      <c r="C60" s="255">
        <v>12648</v>
      </c>
      <c r="D60" s="256">
        <f t="shared" si="9"/>
        <v>12380.612903225807</v>
      </c>
      <c r="E60" s="256">
        <f t="shared" si="7"/>
        <v>147.6129032258068</v>
      </c>
      <c r="F60" s="178"/>
      <c r="G60" s="178"/>
      <c r="H60" s="178"/>
      <c r="I60" s="865"/>
      <c r="J60" s="895" t="s">
        <v>135</v>
      </c>
      <c r="K60" s="217" t="s">
        <v>136</v>
      </c>
      <c r="L60" s="117">
        <v>0</v>
      </c>
      <c r="M60" s="117">
        <v>0</v>
      </c>
      <c r="N60" s="117">
        <v>3431</v>
      </c>
      <c r="O60" s="117">
        <v>3423</v>
      </c>
      <c r="P60" s="117">
        <v>6159</v>
      </c>
      <c r="Q60" s="117">
        <v>12623</v>
      </c>
      <c r="R60" s="117">
        <v>12311</v>
      </c>
      <c r="S60" s="117">
        <v>11888</v>
      </c>
      <c r="T60" s="117">
        <v>11535</v>
      </c>
      <c r="U60" s="262">
        <v>13854</v>
      </c>
      <c r="V60" s="262">
        <v>13163</v>
      </c>
      <c r="W60" s="212">
        <f t="shared" ref="W60:W62" si="22">V60+W18-W40</f>
        <v>12233</v>
      </c>
      <c r="X60" s="263">
        <f>W60+X18-X40-1100</f>
        <v>10175</v>
      </c>
      <c r="Y60" s="264">
        <f>X60+Y18-Y40-5600</f>
        <v>3608</v>
      </c>
      <c r="Z60" s="262">
        <f>Y60+Z18-Z40</f>
        <v>2631</v>
      </c>
      <c r="AA60" s="265">
        <f t="shared" ref="AA60:AA61" si="23">Z60+AA18-AA40-2000</f>
        <v>-356</v>
      </c>
      <c r="AB60" s="265">
        <f t="shared" ref="AB60:AC60" si="24">AA60+AB18-AB40</f>
        <v>2069</v>
      </c>
      <c r="AC60" s="212">
        <f t="shared" si="24"/>
        <v>1042</v>
      </c>
      <c r="AD60" s="257">
        <f t="shared" ref="AD60:AF60" si="25">AC60+AD18-AD40-1000</f>
        <v>-1005</v>
      </c>
      <c r="AE60" s="116">
        <f t="shared" si="25"/>
        <v>-3073</v>
      </c>
      <c r="AF60" s="116">
        <f t="shared" si="25"/>
        <v>-5163</v>
      </c>
      <c r="AG60" s="7"/>
    </row>
    <row r="61" spans="1:33" ht="12.75">
      <c r="A61" s="865"/>
      <c r="B61" s="261" t="s">
        <v>137</v>
      </c>
      <c r="C61" s="255">
        <v>12520</v>
      </c>
      <c r="D61" s="256">
        <f t="shared" si="9"/>
        <v>12216.612903225807</v>
      </c>
      <c r="E61" s="256">
        <f t="shared" si="7"/>
        <v>233.6129032258068</v>
      </c>
      <c r="F61" s="178"/>
      <c r="G61" s="178"/>
      <c r="H61" s="178"/>
      <c r="I61" s="865"/>
      <c r="J61" s="865"/>
      <c r="K61" s="217" t="s">
        <v>137</v>
      </c>
      <c r="L61" s="117">
        <v>0</v>
      </c>
      <c r="M61" s="117">
        <v>0</v>
      </c>
      <c r="N61" s="117">
        <v>3431</v>
      </c>
      <c r="O61" s="117">
        <v>3415</v>
      </c>
      <c r="P61" s="117">
        <v>6143</v>
      </c>
      <c r="Q61" s="117">
        <v>12719</v>
      </c>
      <c r="R61" s="117">
        <v>12455</v>
      </c>
      <c r="S61" s="117">
        <v>12059</v>
      </c>
      <c r="T61" s="117">
        <v>11639</v>
      </c>
      <c r="U61" s="266">
        <v>13860</v>
      </c>
      <c r="V61" s="266">
        <v>13059</v>
      </c>
      <c r="W61" s="212">
        <f t="shared" si="22"/>
        <v>11983</v>
      </c>
      <c r="X61" s="263">
        <f t="shared" ref="X61:X62" si="26">W61+X19-X41-600</f>
        <v>10275</v>
      </c>
      <c r="Y61" s="267">
        <f t="shared" ref="Y61:Y62" si="27">X61+Y19-Y41</f>
        <v>9144</v>
      </c>
      <c r="Z61" s="265">
        <f>Y61+Z19-Z41-4900</f>
        <v>3102</v>
      </c>
      <c r="AA61" s="265">
        <f t="shared" si="23"/>
        <v>-51</v>
      </c>
      <c r="AB61" s="265">
        <f t="shared" ref="AB61:AC61" si="28">AA61+AB19-AB41</f>
        <v>2193</v>
      </c>
      <c r="AC61" s="212">
        <f t="shared" si="28"/>
        <v>981</v>
      </c>
      <c r="AD61" s="257">
        <f t="shared" ref="AD61:AF61" si="29">AC61+AD19-AD41-100</f>
        <v>-355</v>
      </c>
      <c r="AE61" s="116">
        <f t="shared" si="29"/>
        <v>-1716</v>
      </c>
      <c r="AF61" s="116">
        <f t="shared" si="29"/>
        <v>-3102</v>
      </c>
      <c r="AG61" s="7"/>
    </row>
    <row r="62" spans="1:33" ht="12.75">
      <c r="A62" s="865"/>
      <c r="B62" s="261" t="s">
        <v>138</v>
      </c>
      <c r="C62" s="255">
        <v>5432</v>
      </c>
      <c r="D62" s="256">
        <f t="shared" si="9"/>
        <v>5172.1612903225805</v>
      </c>
      <c r="E62" s="256">
        <f t="shared" si="7"/>
        <v>337.1612903225805</v>
      </c>
      <c r="F62" s="178"/>
      <c r="G62" s="178"/>
      <c r="H62" s="178"/>
      <c r="I62" s="865"/>
      <c r="J62" s="865"/>
      <c r="K62" s="217" t="s">
        <v>138</v>
      </c>
      <c r="L62" s="117">
        <v>0</v>
      </c>
      <c r="M62" s="117">
        <v>0</v>
      </c>
      <c r="N62" s="117">
        <v>3431</v>
      </c>
      <c r="O62" s="117">
        <v>3375</v>
      </c>
      <c r="P62" s="117">
        <v>6003</v>
      </c>
      <c r="Q62" s="117">
        <v>5547</v>
      </c>
      <c r="R62" s="117">
        <v>5219</v>
      </c>
      <c r="S62" s="117">
        <v>4902</v>
      </c>
      <c r="T62" s="117">
        <v>4659</v>
      </c>
      <c r="U62" s="116">
        <v>6784</v>
      </c>
      <c r="V62" s="116">
        <v>5748</v>
      </c>
      <c r="W62" s="258">
        <f t="shared" si="22"/>
        <v>4835</v>
      </c>
      <c r="X62" s="263">
        <f t="shared" si="26"/>
        <v>3304</v>
      </c>
      <c r="Y62" s="267">
        <f t="shared" si="27"/>
        <v>2354</v>
      </c>
      <c r="Z62" s="267">
        <f t="shared" ref="Z62:AA62" si="30">Y62+Z20-Z42</f>
        <v>1394</v>
      </c>
      <c r="AA62" s="116">
        <f t="shared" si="30"/>
        <v>425</v>
      </c>
      <c r="AB62" s="116">
        <f>AA62+AB20-AB42-500</f>
        <v>5791</v>
      </c>
      <c r="AC62" s="212">
        <f>AB62+AC20-AC42</f>
        <v>4773</v>
      </c>
      <c r="AD62" s="257">
        <f t="shared" ref="AD62:AF62" si="31">AC62+AD20-AD42-2200</f>
        <v>1534</v>
      </c>
      <c r="AE62" s="116">
        <f t="shared" si="31"/>
        <v>-1725</v>
      </c>
      <c r="AF62" s="116">
        <f t="shared" si="31"/>
        <v>-5006</v>
      </c>
      <c r="AG62" s="7"/>
    </row>
    <row r="63" spans="1:33" ht="12.75">
      <c r="A63" s="866"/>
      <c r="B63" s="261" t="s">
        <v>139</v>
      </c>
      <c r="C63" s="255">
        <v>3212</v>
      </c>
      <c r="D63" s="256">
        <f t="shared" si="9"/>
        <v>2978.2903225806454</v>
      </c>
      <c r="E63" s="256">
        <f t="shared" si="7"/>
        <v>-572.70967741935465</v>
      </c>
      <c r="F63" s="178"/>
      <c r="G63" s="178"/>
      <c r="H63" s="178"/>
      <c r="I63" s="866"/>
      <c r="J63" s="866"/>
      <c r="K63" s="217" t="s">
        <v>139</v>
      </c>
      <c r="L63" s="117">
        <v>0</v>
      </c>
      <c r="M63" s="117">
        <v>0</v>
      </c>
      <c r="N63" s="117">
        <v>3408</v>
      </c>
      <c r="O63" s="117">
        <v>3320</v>
      </c>
      <c r="P63" s="117">
        <v>5680</v>
      </c>
      <c r="Q63" s="117">
        <v>5320</v>
      </c>
      <c r="R63" s="117">
        <v>4936</v>
      </c>
      <c r="S63" s="117">
        <v>4713</v>
      </c>
      <c r="T63" s="117">
        <v>4400</v>
      </c>
      <c r="U63" s="266">
        <v>6540</v>
      </c>
      <c r="V63" s="266">
        <v>6140</v>
      </c>
      <c r="W63" s="212">
        <f>V63+W21-W43-1800</f>
        <v>3551</v>
      </c>
      <c r="X63" s="144">
        <f t="shared" ref="X63:Y63" si="32">W63+X21-X43</f>
        <v>2754</v>
      </c>
      <c r="Y63" s="267">
        <f t="shared" si="32"/>
        <v>1949</v>
      </c>
      <c r="Z63" s="264">
        <f>Y63+Z21-Z43-1000</f>
        <v>136</v>
      </c>
      <c r="AA63" s="116">
        <f t="shared" ref="AA63:AB63" si="33">Z63+AA21-AA43</f>
        <v>-685</v>
      </c>
      <c r="AB63" s="116">
        <f t="shared" si="33"/>
        <v>5342</v>
      </c>
      <c r="AC63" s="212">
        <f>AB63+AC21-AC43-3000</f>
        <v>1488</v>
      </c>
      <c r="AD63" s="257">
        <f t="shared" ref="AD63:AF63" si="34">AC63+AD21-AD43</f>
        <v>617</v>
      </c>
      <c r="AE63" s="116">
        <f t="shared" si="34"/>
        <v>-272</v>
      </c>
      <c r="AF63" s="116">
        <f t="shared" si="34"/>
        <v>-1178</v>
      </c>
      <c r="AG63" s="7"/>
    </row>
    <row r="64" spans="1:33" ht="12.75">
      <c r="F64" s="178"/>
      <c r="G64" s="178"/>
      <c r="H64" s="178"/>
      <c r="I64" s="268"/>
      <c r="J64" s="896" t="s">
        <v>38</v>
      </c>
      <c r="K64" s="860"/>
      <c r="L64" s="270">
        <f t="shared" ref="L64:AF64" si="35">SUM(L48:L63)</f>
        <v>129874</v>
      </c>
      <c r="M64" s="270">
        <f t="shared" si="35"/>
        <v>150160</v>
      </c>
      <c r="N64" s="270">
        <f t="shared" si="35"/>
        <v>183362</v>
      </c>
      <c r="O64" s="270">
        <f t="shared" si="35"/>
        <v>267173</v>
      </c>
      <c r="P64" s="270">
        <f t="shared" si="35"/>
        <v>293785</v>
      </c>
      <c r="Q64" s="270">
        <f t="shared" si="35"/>
        <v>275253</v>
      </c>
      <c r="R64" s="270">
        <f t="shared" si="35"/>
        <v>268277</v>
      </c>
      <c r="S64" s="270">
        <f t="shared" si="35"/>
        <v>340767.24</v>
      </c>
      <c r="T64" s="270">
        <f t="shared" si="35"/>
        <v>353779</v>
      </c>
      <c r="U64" s="270">
        <f t="shared" si="35"/>
        <v>381969.80000000005</v>
      </c>
      <c r="V64" s="270">
        <f t="shared" si="35"/>
        <v>358282</v>
      </c>
      <c r="W64" s="271">
        <f t="shared" si="35"/>
        <v>332441</v>
      </c>
      <c r="X64" s="270">
        <f t="shared" si="35"/>
        <v>312394</v>
      </c>
      <c r="Y64" s="270">
        <f t="shared" si="35"/>
        <v>281400</v>
      </c>
      <c r="Z64" s="270">
        <f t="shared" si="35"/>
        <v>248693</v>
      </c>
      <c r="AA64" s="270">
        <f t="shared" si="35"/>
        <v>217171</v>
      </c>
      <c r="AB64" s="270">
        <f t="shared" si="35"/>
        <v>203995</v>
      </c>
      <c r="AC64" s="271">
        <f t="shared" si="35"/>
        <v>171591</v>
      </c>
      <c r="AD64" s="272">
        <f t="shared" si="35"/>
        <v>137764</v>
      </c>
      <c r="AE64" s="270">
        <f t="shared" si="35"/>
        <v>91703</v>
      </c>
      <c r="AF64" s="270">
        <f t="shared" si="35"/>
        <v>52220</v>
      </c>
      <c r="AG64" s="7"/>
    </row>
    <row r="65" spans="1:33" ht="12.75">
      <c r="A65" s="178"/>
      <c r="B65" s="178"/>
      <c r="C65" s="249"/>
      <c r="D65" s="178"/>
      <c r="E65" s="178"/>
      <c r="F65" s="178"/>
      <c r="G65" s="178"/>
      <c r="H65" s="178"/>
      <c r="I65" s="273"/>
      <c r="J65" s="273"/>
      <c r="K65" s="273"/>
      <c r="L65" s="183"/>
      <c r="M65" s="183"/>
      <c r="N65" s="183"/>
      <c r="O65" s="183"/>
      <c r="P65" s="183"/>
      <c r="Q65" s="183"/>
      <c r="R65" s="183"/>
      <c r="S65" s="183"/>
      <c r="T65" s="183"/>
      <c r="W65" s="183"/>
      <c r="X65" s="183"/>
      <c r="Y65" s="183"/>
      <c r="Z65" s="183"/>
      <c r="AG65" s="7"/>
    </row>
    <row r="66" spans="1:33" ht="12.75">
      <c r="A66" s="178"/>
      <c r="B66" s="178"/>
      <c r="C66" s="178"/>
      <c r="D66" s="178"/>
      <c r="E66" s="178"/>
      <c r="F66" s="178"/>
      <c r="G66" s="178"/>
      <c r="H66" s="178"/>
      <c r="I66" s="180"/>
      <c r="J66" s="180"/>
      <c r="K66" s="180"/>
      <c r="AG66" s="7"/>
    </row>
    <row r="67" spans="1:33" ht="12.75" outlineLevel="1">
      <c r="A67" s="178"/>
      <c r="B67" s="178"/>
      <c r="C67" s="178"/>
      <c r="D67" s="178"/>
      <c r="E67" s="178"/>
      <c r="F67" s="178"/>
      <c r="G67" s="178"/>
      <c r="H67" s="178"/>
      <c r="I67" s="897" t="s">
        <v>56</v>
      </c>
      <c r="J67" s="862"/>
      <c r="K67" s="862"/>
      <c r="L67" s="269" t="s">
        <v>14</v>
      </c>
      <c r="M67" s="269" t="s">
        <v>15</v>
      </c>
      <c r="N67" s="269" t="s">
        <v>16</v>
      </c>
      <c r="O67" s="269" t="s">
        <v>17</v>
      </c>
      <c r="P67" s="269" t="s">
        <v>18</v>
      </c>
      <c r="Q67" s="269" t="s">
        <v>19</v>
      </c>
      <c r="R67" s="269" t="s">
        <v>20</v>
      </c>
      <c r="S67" s="269" t="s">
        <v>21</v>
      </c>
      <c r="T67" s="269" t="s">
        <v>22</v>
      </c>
      <c r="U67" s="269" t="s">
        <v>23</v>
      </c>
      <c r="V67" s="269" t="s">
        <v>107</v>
      </c>
      <c r="W67" s="274" t="s">
        <v>25</v>
      </c>
      <c r="X67" s="269" t="s">
        <v>26</v>
      </c>
      <c r="Y67" s="269" t="s">
        <v>15</v>
      </c>
      <c r="Z67" s="269" t="s">
        <v>16</v>
      </c>
      <c r="AA67" s="269" t="s">
        <v>17</v>
      </c>
      <c r="AB67" s="269" t="s">
        <v>18</v>
      </c>
      <c r="AC67" s="274" t="s">
        <v>19</v>
      </c>
      <c r="AD67" s="252" t="s">
        <v>20</v>
      </c>
      <c r="AE67" s="253" t="s">
        <v>21</v>
      </c>
      <c r="AF67" s="253" t="s">
        <v>22</v>
      </c>
      <c r="AG67" s="7"/>
    </row>
    <row r="68" spans="1:33" ht="12.75" outlineLevel="1">
      <c r="A68" s="178"/>
      <c r="B68" s="178"/>
      <c r="C68" s="178"/>
      <c r="D68" s="178"/>
      <c r="E68" s="178"/>
      <c r="F68" s="178"/>
      <c r="G68" s="178"/>
      <c r="H68" s="178"/>
      <c r="I68" s="912" t="s">
        <v>57</v>
      </c>
      <c r="J68" s="891" t="s">
        <v>27</v>
      </c>
      <c r="K68" s="190" t="s">
        <v>110</v>
      </c>
      <c r="L68" s="136">
        <f t="shared" ref="L68:AF68" si="36">L48/L28</f>
        <v>5.7098591549295774</v>
      </c>
      <c r="M68" s="136">
        <f t="shared" si="36"/>
        <v>7.324435318275154</v>
      </c>
      <c r="N68" s="136">
        <f t="shared" si="36"/>
        <v>5.4881516587677721</v>
      </c>
      <c r="O68" s="136">
        <f t="shared" si="36"/>
        <v>4.2859154929577468</v>
      </c>
      <c r="P68" s="136">
        <f t="shared" si="36"/>
        <v>3.2477558348294435</v>
      </c>
      <c r="Q68" s="136">
        <f t="shared" si="36"/>
        <v>10.903553299492385</v>
      </c>
      <c r="R68" s="136">
        <f t="shared" si="36"/>
        <v>14.30379746835443</v>
      </c>
      <c r="S68" s="136">
        <f t="shared" si="36"/>
        <v>16.828571428571429</v>
      </c>
      <c r="T68" s="136">
        <f t="shared" si="36"/>
        <v>43.61904761904762</v>
      </c>
      <c r="U68" s="136">
        <f t="shared" si="36"/>
        <v>25.305035971223024</v>
      </c>
      <c r="V68" s="136">
        <f t="shared" si="36"/>
        <v>23.971830985915492</v>
      </c>
      <c r="W68" s="137">
        <f t="shared" si="36"/>
        <v>15.604878048780488</v>
      </c>
      <c r="X68" s="136">
        <f t="shared" si="36"/>
        <v>14.018779342723004</v>
      </c>
      <c r="Y68" s="136">
        <f t="shared" si="36"/>
        <v>13.287081339712918</v>
      </c>
      <c r="Z68" s="136">
        <f t="shared" si="36"/>
        <v>10.475206611570249</v>
      </c>
      <c r="AA68" s="136">
        <f t="shared" si="36"/>
        <v>8.1847826086956523</v>
      </c>
      <c r="AB68" s="136">
        <f t="shared" si="36"/>
        <v>6.3106796116504853</v>
      </c>
      <c r="AC68" s="137">
        <f t="shared" si="36"/>
        <v>4.7863501483679523</v>
      </c>
      <c r="AD68" s="275">
        <f t="shared" si="36"/>
        <v>3.505586592178771</v>
      </c>
      <c r="AE68" s="136">
        <f t="shared" si="36"/>
        <v>2.3466666666666667</v>
      </c>
      <c r="AF68" s="136">
        <f t="shared" si="36"/>
        <v>1.2564102564102564</v>
      </c>
      <c r="AG68" s="7"/>
    </row>
    <row r="69" spans="1:33" ht="12.75" outlineLevel="1">
      <c r="A69" s="178"/>
      <c r="B69" s="178"/>
      <c r="C69" s="178"/>
      <c r="D69" s="178"/>
      <c r="E69" s="178"/>
      <c r="F69" s="178"/>
      <c r="G69" s="178"/>
      <c r="H69" s="178"/>
      <c r="I69" s="865"/>
      <c r="J69" s="865"/>
      <c r="K69" s="190">
        <v>1</v>
      </c>
      <c r="L69" s="136">
        <f t="shared" ref="L69:AF69" si="37">L49/L29</f>
        <v>0.61338991041961344</v>
      </c>
      <c r="M69" s="136">
        <f t="shared" si="37"/>
        <v>0</v>
      </c>
      <c r="N69" s="136">
        <f t="shared" si="37"/>
        <v>1.4469525959367946</v>
      </c>
      <c r="O69" s="136">
        <f t="shared" si="37"/>
        <v>2.8421658986175116</v>
      </c>
      <c r="P69" s="136">
        <f t="shared" si="37"/>
        <v>3.5950029052876236</v>
      </c>
      <c r="Q69" s="136">
        <f t="shared" si="37"/>
        <v>11.243440233236152</v>
      </c>
      <c r="R69" s="136">
        <f t="shared" si="37"/>
        <v>12.853115727002967</v>
      </c>
      <c r="S69" s="136">
        <f t="shared" si="37"/>
        <v>9.7776137761377608</v>
      </c>
      <c r="T69" s="136">
        <f t="shared" si="37"/>
        <v>14.594377510040161</v>
      </c>
      <c r="U69" s="136">
        <f t="shared" si="37"/>
        <v>13.921579430670342</v>
      </c>
      <c r="V69" s="136">
        <f t="shared" si="37"/>
        <v>15.156739811912226</v>
      </c>
      <c r="W69" s="137">
        <f t="shared" si="37"/>
        <v>9.4653679653679657</v>
      </c>
      <c r="X69" s="136">
        <f t="shared" si="37"/>
        <v>8.2845010615711256</v>
      </c>
      <c r="Y69" s="136">
        <f t="shared" si="37"/>
        <v>7.364415862808146</v>
      </c>
      <c r="Z69" s="136">
        <f t="shared" si="37"/>
        <v>5.9474216380182003</v>
      </c>
      <c r="AA69" s="136">
        <f t="shared" si="37"/>
        <v>4.666666666666667</v>
      </c>
      <c r="AB69" s="136">
        <f t="shared" si="37"/>
        <v>3.4851851851851854</v>
      </c>
      <c r="AC69" s="137">
        <f t="shared" si="37"/>
        <v>2.3848920863309351</v>
      </c>
      <c r="AD69" s="275">
        <f t="shared" si="37"/>
        <v>1.3365638766519823</v>
      </c>
      <c r="AE69" s="136">
        <f t="shared" si="37"/>
        <v>0.29769033361847735</v>
      </c>
      <c r="AF69" s="136">
        <f t="shared" si="37"/>
        <v>-0.70805369127516782</v>
      </c>
      <c r="AG69" s="7"/>
    </row>
    <row r="70" spans="1:33" ht="12.75" outlineLevel="1">
      <c r="A70" s="178"/>
      <c r="B70" s="178"/>
      <c r="C70" s="178"/>
      <c r="D70" s="178"/>
      <c r="E70" s="178"/>
      <c r="F70" s="178"/>
      <c r="G70" s="178"/>
      <c r="H70" s="178"/>
      <c r="I70" s="865"/>
      <c r="J70" s="865"/>
      <c r="K70" s="190" t="s">
        <v>119</v>
      </c>
      <c r="L70" s="136">
        <f t="shared" ref="L70:AF70" si="38">L50/L30</f>
        <v>5.3204144282425174</v>
      </c>
      <c r="M70" s="136">
        <f t="shared" si="38"/>
        <v>5.7006704980842908</v>
      </c>
      <c r="N70" s="136">
        <f t="shared" si="38"/>
        <v>5.6898876404494381</v>
      </c>
      <c r="O70" s="136">
        <f t="shared" si="38"/>
        <v>4.7923340961098395</v>
      </c>
      <c r="P70" s="136">
        <f t="shared" si="38"/>
        <v>10.0491452991453</v>
      </c>
      <c r="Q70" s="136">
        <f t="shared" si="38"/>
        <v>0</v>
      </c>
      <c r="R70" s="136">
        <f t="shared" si="38"/>
        <v>0</v>
      </c>
      <c r="S70" s="136">
        <f t="shared" si="38"/>
        <v>-2.6666666666666668E-4</v>
      </c>
      <c r="T70" s="136">
        <f t="shared" si="38"/>
        <v>21.299663299663301</v>
      </c>
      <c r="U70" s="136">
        <f t="shared" si="38"/>
        <v>20.901609195402298</v>
      </c>
      <c r="V70" s="136">
        <f t="shared" si="38"/>
        <v>19.183333333333334</v>
      </c>
      <c r="W70" s="137">
        <f t="shared" si="38"/>
        <v>14.104986876640419</v>
      </c>
      <c r="X70" s="136">
        <f t="shared" si="38"/>
        <v>25.912579957356076</v>
      </c>
      <c r="Y70" s="136">
        <f t="shared" si="38"/>
        <v>26.557823129251702</v>
      </c>
      <c r="Z70" s="136">
        <f t="shared" si="38"/>
        <v>23.866242038216562</v>
      </c>
      <c r="AA70" s="136">
        <f t="shared" si="38"/>
        <v>21.709090909090911</v>
      </c>
      <c r="AB70" s="136">
        <f t="shared" si="38"/>
        <v>21.156701030927834</v>
      </c>
      <c r="AC70" s="137">
        <f t="shared" si="38"/>
        <v>19.729292929292928</v>
      </c>
      <c r="AD70" s="275">
        <f t="shared" si="38"/>
        <v>15.303839732888147</v>
      </c>
      <c r="AE70" s="136">
        <f t="shared" si="38"/>
        <v>8.5618421052631586</v>
      </c>
      <c r="AF70" s="136">
        <f t="shared" si="38"/>
        <v>7.1541353383458643</v>
      </c>
      <c r="AG70" s="7"/>
    </row>
    <row r="71" spans="1:33" ht="12.75" outlineLevel="1">
      <c r="A71" s="178"/>
      <c r="B71" s="178"/>
      <c r="C71" s="178"/>
      <c r="D71" s="178"/>
      <c r="E71" s="178"/>
      <c r="F71" s="178"/>
      <c r="G71" s="178"/>
      <c r="H71" s="178"/>
      <c r="I71" s="865"/>
      <c r="J71" s="865"/>
      <c r="K71" s="190">
        <v>2</v>
      </c>
      <c r="L71" s="136">
        <f t="shared" ref="L71:AF71" si="39">L51/L31</f>
        <v>4.6736111111111107</v>
      </c>
      <c r="M71" s="136">
        <f t="shared" si="39"/>
        <v>4.3784000000000001</v>
      </c>
      <c r="N71" s="136">
        <f t="shared" si="39"/>
        <v>2.3857383492419988</v>
      </c>
      <c r="O71" s="136">
        <f t="shared" si="39"/>
        <v>1.5913255956017105</v>
      </c>
      <c r="P71" s="136">
        <f t="shared" si="39"/>
        <v>1.2612419700214133</v>
      </c>
      <c r="Q71" s="136">
        <f t="shared" si="39"/>
        <v>2.874265569917744</v>
      </c>
      <c r="R71" s="136">
        <f t="shared" si="39"/>
        <v>2.4641805691854759</v>
      </c>
      <c r="S71" s="136">
        <f t="shared" si="39"/>
        <v>0.82212786034442087</v>
      </c>
      <c r="T71" s="136">
        <f t="shared" si="39"/>
        <v>5.7226765799256505</v>
      </c>
      <c r="U71" s="136">
        <f t="shared" si="39"/>
        <v>5.4342237061769616</v>
      </c>
      <c r="V71" s="136">
        <f t="shared" si="39"/>
        <v>4.8236316246741966</v>
      </c>
      <c r="W71" s="137">
        <f t="shared" si="39"/>
        <v>4.4807502467917075</v>
      </c>
      <c r="X71" s="136">
        <f t="shared" si="39"/>
        <v>3.3939980638915781</v>
      </c>
      <c r="Y71" s="136">
        <f t="shared" si="39"/>
        <v>2.4610069101678183</v>
      </c>
      <c r="Z71" s="136">
        <f t="shared" si="39"/>
        <v>1.3675213675213675</v>
      </c>
      <c r="AA71" s="136">
        <f t="shared" si="39"/>
        <v>0.32718894009216593</v>
      </c>
      <c r="AB71" s="136">
        <f t="shared" si="39"/>
        <v>-0.66945996275605213</v>
      </c>
      <c r="AC71" s="137">
        <f t="shared" si="39"/>
        <v>-1.6900191938579654</v>
      </c>
      <c r="AD71" s="275">
        <f t="shared" si="39"/>
        <v>-2.469949916527546</v>
      </c>
      <c r="AE71" s="136">
        <f t="shared" si="39"/>
        <v>-3.3299212598425196</v>
      </c>
      <c r="AF71" s="136">
        <f t="shared" si="39"/>
        <v>-4.2331804281345562</v>
      </c>
      <c r="AG71" s="7"/>
    </row>
    <row r="72" spans="1:33" ht="12.75" outlineLevel="1">
      <c r="A72" s="178"/>
      <c r="B72" s="178"/>
      <c r="C72" s="178"/>
      <c r="D72" s="178"/>
      <c r="E72" s="178"/>
      <c r="F72" s="178"/>
      <c r="G72" s="178"/>
      <c r="H72" s="178"/>
      <c r="I72" s="865"/>
      <c r="J72" s="865"/>
      <c r="K72" s="190" t="s">
        <v>124</v>
      </c>
      <c r="L72" s="136">
        <f t="shared" ref="L72:AF72" si="40">L52/L32</f>
        <v>5.7105772956218521</v>
      </c>
      <c r="M72" s="136">
        <f t="shared" si="40"/>
        <v>5.5870624723083742</v>
      </c>
      <c r="N72" s="136">
        <f t="shared" si="40"/>
        <v>5.5256078634247281</v>
      </c>
      <c r="O72" s="136">
        <f t="shared" si="40"/>
        <v>3.7746982565936524</v>
      </c>
      <c r="P72" s="136">
        <f t="shared" si="40"/>
        <v>7.0178571428571432</v>
      </c>
      <c r="Q72" s="136">
        <f t="shared" si="40"/>
        <v>12.637376237623762</v>
      </c>
      <c r="R72" s="136">
        <f t="shared" si="40"/>
        <v>16.779538904899134</v>
      </c>
      <c r="S72" s="136">
        <f t="shared" si="40"/>
        <v>17.299475890985327</v>
      </c>
      <c r="T72" s="136">
        <f t="shared" si="40"/>
        <v>37.660472972972975</v>
      </c>
      <c r="U72" s="136">
        <f t="shared" si="40"/>
        <v>46.076949740034664</v>
      </c>
      <c r="V72" s="136">
        <f t="shared" si="40"/>
        <v>45.149046793760832</v>
      </c>
      <c r="W72" s="137">
        <f t="shared" si="40"/>
        <v>45.271758436944936</v>
      </c>
      <c r="X72" s="136">
        <f t="shared" si="40"/>
        <v>36.4273127753304</v>
      </c>
      <c r="Y72" s="136">
        <f t="shared" si="40"/>
        <v>36.931192660550458</v>
      </c>
      <c r="Z72" s="136">
        <f t="shared" si="40"/>
        <v>31.683355886332883</v>
      </c>
      <c r="AA72" s="136">
        <f t="shared" si="40"/>
        <v>28.136653895274584</v>
      </c>
      <c r="AB72" s="136">
        <f t="shared" si="40"/>
        <v>21.826822916666668</v>
      </c>
      <c r="AC72" s="137">
        <f t="shared" si="40"/>
        <v>21.291223404255319</v>
      </c>
      <c r="AD72" s="275">
        <f t="shared" si="40"/>
        <v>17.836470588235294</v>
      </c>
      <c r="AE72" s="136">
        <f t="shared" si="40"/>
        <v>4.8904522613065327</v>
      </c>
      <c r="AF72" s="136">
        <f t="shared" si="40"/>
        <v>-5.6640625E-2</v>
      </c>
      <c r="AG72" s="7"/>
    </row>
    <row r="73" spans="1:33" ht="12.75" outlineLevel="1">
      <c r="A73" s="178"/>
      <c r="B73" s="178"/>
      <c r="C73" s="178"/>
      <c r="D73" s="178"/>
      <c r="E73" s="178"/>
      <c r="F73" s="178"/>
      <c r="G73" s="178"/>
      <c r="H73" s="178"/>
      <c r="I73" s="865"/>
      <c r="J73" s="866"/>
      <c r="K73" s="190">
        <v>3</v>
      </c>
      <c r="L73" s="136">
        <f t="shared" ref="L73:AF73" si="41">L53/L33</f>
        <v>4.3348281016442454E-2</v>
      </c>
      <c r="M73" s="136">
        <f t="shared" si="41"/>
        <v>0</v>
      </c>
      <c r="N73" s="136">
        <f t="shared" si="41"/>
        <v>2.7726218097447797</v>
      </c>
      <c r="O73" s="136">
        <f t="shared" si="41"/>
        <v>1.4235880398671097</v>
      </c>
      <c r="P73" s="136">
        <f t="shared" si="41"/>
        <v>0.53309481216457966</v>
      </c>
      <c r="Q73" s="136">
        <f t="shared" si="41"/>
        <v>6.3529411764705879</v>
      </c>
      <c r="R73" s="136">
        <f t="shared" si="41"/>
        <v>0.80808080808080807</v>
      </c>
      <c r="S73" s="136">
        <f t="shared" si="41"/>
        <v>0</v>
      </c>
      <c r="T73" s="136">
        <f t="shared" si="41"/>
        <v>19.399999999999999</v>
      </c>
      <c r="U73" s="136">
        <f t="shared" si="41"/>
        <v>14.069841269841271</v>
      </c>
      <c r="V73" s="136">
        <f t="shared" si="41"/>
        <v>11.97427652733119</v>
      </c>
      <c r="W73" s="137">
        <f t="shared" si="41"/>
        <v>7.4253393665158374</v>
      </c>
      <c r="X73" s="136">
        <f t="shared" si="41"/>
        <v>6.3587443946188342</v>
      </c>
      <c r="Y73" s="136">
        <f t="shared" si="41"/>
        <v>5.2882483370288247</v>
      </c>
      <c r="Z73" s="136">
        <f t="shared" si="41"/>
        <v>4.1847826086956523</v>
      </c>
      <c r="AA73" s="136">
        <f t="shared" si="41"/>
        <v>3.1044776119402986</v>
      </c>
      <c r="AB73" s="136">
        <f t="shared" si="41"/>
        <v>2.071729957805907</v>
      </c>
      <c r="AC73" s="137">
        <f t="shared" si="41"/>
        <v>1.0331262939958592</v>
      </c>
      <c r="AD73" s="275">
        <f t="shared" si="41"/>
        <v>2.2540983606557378E-2</v>
      </c>
      <c r="AE73" s="136">
        <f t="shared" si="41"/>
        <v>-0.97791164658634533</v>
      </c>
      <c r="AF73" s="136">
        <f t="shared" si="41"/>
        <v>-1.9586614173228347</v>
      </c>
      <c r="AG73" s="7"/>
    </row>
    <row r="74" spans="1:33" ht="12.75" outlineLevel="1">
      <c r="A74" s="178"/>
      <c r="B74" s="178"/>
      <c r="C74" s="178"/>
      <c r="D74" s="178"/>
      <c r="E74" s="178"/>
      <c r="F74" s="178"/>
      <c r="G74" s="178"/>
      <c r="H74" s="178"/>
      <c r="I74" s="865"/>
      <c r="J74" s="892" t="s">
        <v>32</v>
      </c>
      <c r="K74" s="205" t="s">
        <v>110</v>
      </c>
      <c r="L74" s="136">
        <f t="shared" ref="L74:AF74" si="42">L54/L34</f>
        <v>1.3580718414533444</v>
      </c>
      <c r="M74" s="136">
        <f t="shared" si="42"/>
        <v>2.2514019806705643</v>
      </c>
      <c r="N74" s="136">
        <f t="shared" si="42"/>
        <v>1.7703956085557448</v>
      </c>
      <c r="O74" s="136">
        <f t="shared" si="42"/>
        <v>2.5280221957986524</v>
      </c>
      <c r="P74" s="136">
        <f t="shared" si="42"/>
        <v>3.255698625369758</v>
      </c>
      <c r="Q74" s="136">
        <f t="shared" si="42"/>
        <v>7.2572767636901823</v>
      </c>
      <c r="R74" s="136">
        <f t="shared" si="42"/>
        <v>10.766051364365971</v>
      </c>
      <c r="S74" s="136">
        <f t="shared" si="42"/>
        <v>22.539265536723164</v>
      </c>
      <c r="T74" s="136">
        <f t="shared" si="42"/>
        <v>20.113734750098388</v>
      </c>
      <c r="U74" s="136">
        <f t="shared" si="42"/>
        <v>19.837541221474741</v>
      </c>
      <c r="V74" s="136">
        <f t="shared" si="42"/>
        <v>18.670050761421319</v>
      </c>
      <c r="W74" s="137">
        <f t="shared" si="42"/>
        <v>16.39323390323754</v>
      </c>
      <c r="X74" s="136">
        <f t="shared" si="42"/>
        <v>14.762504372158098</v>
      </c>
      <c r="Y74" s="136">
        <f t="shared" si="42"/>
        <v>13.473936899862826</v>
      </c>
      <c r="Z74" s="136">
        <f t="shared" si="42"/>
        <v>11.476976818037473</v>
      </c>
      <c r="AA74" s="136">
        <f t="shared" si="42"/>
        <v>9.9286362261868764</v>
      </c>
      <c r="AB74" s="136">
        <f t="shared" si="42"/>
        <v>8.5475428903751087</v>
      </c>
      <c r="AC74" s="137">
        <f t="shared" si="42"/>
        <v>7.2989836250705817</v>
      </c>
      <c r="AD74" s="275">
        <f t="shared" si="42"/>
        <v>6.0849547821320913</v>
      </c>
      <c r="AE74" s="136">
        <f t="shared" si="42"/>
        <v>4.8508563899868244</v>
      </c>
      <c r="AF74" s="136">
        <f t="shared" si="42"/>
        <v>3.7105936540429889</v>
      </c>
      <c r="AG74" s="7"/>
    </row>
    <row r="75" spans="1:33" ht="12.75" outlineLevel="1">
      <c r="A75" s="178"/>
      <c r="B75" s="178"/>
      <c r="C75" s="178"/>
      <c r="D75" s="178"/>
      <c r="E75" s="178"/>
      <c r="F75" s="178"/>
      <c r="G75" s="178"/>
      <c r="H75" s="178"/>
      <c r="I75" s="865"/>
      <c r="J75" s="865"/>
      <c r="K75" s="205">
        <v>1</v>
      </c>
      <c r="L75" s="136">
        <f t="shared" ref="L75:AF75" si="43">L55/L35</f>
        <v>2.5324308755760367</v>
      </c>
      <c r="M75" s="136">
        <f t="shared" si="43"/>
        <v>2.0801901743264661</v>
      </c>
      <c r="N75" s="136">
        <f t="shared" si="43"/>
        <v>1.5043729149761067</v>
      </c>
      <c r="O75" s="136">
        <f t="shared" si="43"/>
        <v>3.3939143190280965</v>
      </c>
      <c r="P75" s="136">
        <f t="shared" si="43"/>
        <v>4.128608805485384</v>
      </c>
      <c r="Q75" s="136">
        <f t="shared" si="43"/>
        <v>8.2584061424410908</v>
      </c>
      <c r="R75" s="136">
        <f t="shared" si="43"/>
        <v>11.640268729641694</v>
      </c>
      <c r="S75" s="136">
        <f t="shared" si="43"/>
        <v>16.936185969965027</v>
      </c>
      <c r="T75" s="136">
        <f t="shared" si="43"/>
        <v>15.549360511590727</v>
      </c>
      <c r="U75" s="136">
        <f t="shared" si="43"/>
        <v>17.673485488870103</v>
      </c>
      <c r="V75" s="136">
        <f t="shared" si="43"/>
        <v>15.386271087841768</v>
      </c>
      <c r="W75" s="137">
        <f t="shared" si="43"/>
        <v>13.639667896678967</v>
      </c>
      <c r="X75" s="136">
        <f t="shared" si="43"/>
        <v>12.373191027496382</v>
      </c>
      <c r="Y75" s="136">
        <f t="shared" si="43"/>
        <v>11.12963291363717</v>
      </c>
      <c r="Z75" s="136">
        <f t="shared" si="43"/>
        <v>9.5002509620210809</v>
      </c>
      <c r="AA75" s="136">
        <f t="shared" si="43"/>
        <v>8.0476418100701075</v>
      </c>
      <c r="AB75" s="136">
        <f t="shared" si="43"/>
        <v>6.7381645472652059</v>
      </c>
      <c r="AC75" s="137">
        <f t="shared" si="43"/>
        <v>5.5417224453369034</v>
      </c>
      <c r="AD75" s="275">
        <f t="shared" si="43"/>
        <v>4.3800722021660654</v>
      </c>
      <c r="AE75" s="136">
        <f t="shared" si="43"/>
        <v>3.2944924253150218</v>
      </c>
      <c r="AF75" s="136">
        <f t="shared" si="43"/>
        <v>2.2300111049416991</v>
      </c>
      <c r="AG75" s="7"/>
    </row>
    <row r="76" spans="1:33" ht="12.75" outlineLevel="1">
      <c r="A76" s="178"/>
      <c r="B76" s="178"/>
      <c r="C76" s="178"/>
      <c r="D76" s="178"/>
      <c r="E76" s="178"/>
      <c r="F76" s="178"/>
      <c r="G76" s="178"/>
      <c r="H76" s="178"/>
      <c r="I76" s="865"/>
      <c r="J76" s="865"/>
      <c r="K76" s="205">
        <v>2</v>
      </c>
      <c r="L76" s="136">
        <f t="shared" ref="L76:AF76" si="44">L56/L36</f>
        <v>1.3641406856762455</v>
      </c>
      <c r="M76" s="136">
        <f t="shared" si="44"/>
        <v>3.4973684210526317</v>
      </c>
      <c r="N76" s="136">
        <f t="shared" si="44"/>
        <v>3.2350990525409129</v>
      </c>
      <c r="O76" s="136">
        <f t="shared" si="44"/>
        <v>3.1058631921824102</v>
      </c>
      <c r="P76" s="136">
        <f t="shared" si="44"/>
        <v>4.0245026571979494</v>
      </c>
      <c r="Q76" s="136">
        <f t="shared" si="44"/>
        <v>12.501232539030402</v>
      </c>
      <c r="R76" s="136">
        <f t="shared" si="44"/>
        <v>14.052391187533583</v>
      </c>
      <c r="S76" s="136">
        <f t="shared" si="44"/>
        <v>18.155981351981353</v>
      </c>
      <c r="T76" s="136">
        <f t="shared" si="44"/>
        <v>13.333705108186482</v>
      </c>
      <c r="U76" s="136">
        <f t="shared" si="44"/>
        <v>14.563719234275297</v>
      </c>
      <c r="V76" s="136">
        <f t="shared" si="44"/>
        <v>14.431876606683804</v>
      </c>
      <c r="W76" s="137">
        <f t="shared" si="44"/>
        <v>15.401502504173623</v>
      </c>
      <c r="X76" s="136">
        <f t="shared" si="44"/>
        <v>13.668875049688618</v>
      </c>
      <c r="Y76" s="136">
        <f t="shared" si="44"/>
        <v>12.269745304862361</v>
      </c>
      <c r="Z76" s="136">
        <f t="shared" si="44"/>
        <v>10.575849514563107</v>
      </c>
      <c r="AA76" s="136">
        <f t="shared" si="44"/>
        <v>9.1686114352392067</v>
      </c>
      <c r="AB76" s="136">
        <f t="shared" si="44"/>
        <v>7.9016653449643144</v>
      </c>
      <c r="AC76" s="137">
        <f t="shared" si="44"/>
        <v>6.7471953793180051</v>
      </c>
      <c r="AD76" s="275">
        <f t="shared" si="44"/>
        <v>5.550032348501186</v>
      </c>
      <c r="AE76" s="136">
        <f t="shared" si="44"/>
        <v>4.4414843006660325</v>
      </c>
      <c r="AF76" s="136">
        <f t="shared" si="44"/>
        <v>3.3544776119402986</v>
      </c>
      <c r="AG76" s="7"/>
    </row>
    <row r="77" spans="1:33" ht="12.75" outlineLevel="1">
      <c r="A77" s="178"/>
      <c r="B77" s="178"/>
      <c r="C77" s="178"/>
      <c r="D77" s="178"/>
      <c r="E77" s="178"/>
      <c r="F77" s="178"/>
      <c r="G77" s="178"/>
      <c r="H77" s="178"/>
      <c r="I77" s="865"/>
      <c r="J77" s="866"/>
      <c r="K77" s="205" t="s">
        <v>131</v>
      </c>
      <c r="L77" s="136">
        <f t="shared" ref="L77:AF77" si="45">L57/L37</f>
        <v>1.9362186788154898</v>
      </c>
      <c r="M77" s="136">
        <f t="shared" si="45"/>
        <v>3.0849731663685152</v>
      </c>
      <c r="N77" s="136">
        <f t="shared" si="45"/>
        <v>2.8703774304231797</v>
      </c>
      <c r="O77" s="136">
        <f t="shared" si="45"/>
        <v>4.4257590924257588</v>
      </c>
      <c r="P77" s="136">
        <f t="shared" si="45"/>
        <v>5.6305457400863759</v>
      </c>
      <c r="Q77" s="136">
        <f t="shared" si="45"/>
        <v>11.118906942392909</v>
      </c>
      <c r="R77" s="136">
        <f t="shared" si="45"/>
        <v>13.20724191063174</v>
      </c>
      <c r="S77" s="136">
        <f t="shared" si="45"/>
        <v>14.362243797195253</v>
      </c>
      <c r="T77" s="136">
        <f t="shared" si="45"/>
        <v>11.40125173852573</v>
      </c>
      <c r="U77" s="136">
        <f t="shared" si="45"/>
        <v>12.585616438356164</v>
      </c>
      <c r="V77" s="136">
        <f t="shared" si="45"/>
        <v>12.334051724137931</v>
      </c>
      <c r="W77" s="137">
        <f t="shared" si="45"/>
        <v>13.072950819672132</v>
      </c>
      <c r="X77" s="136">
        <f t="shared" si="45"/>
        <v>11.820739549839228</v>
      </c>
      <c r="Y77" s="136">
        <f t="shared" si="45"/>
        <v>10.587864460204885</v>
      </c>
      <c r="Z77" s="136">
        <f t="shared" si="45"/>
        <v>8.9895910780669137</v>
      </c>
      <c r="AA77" s="136">
        <f t="shared" si="45"/>
        <v>7.396527777777778</v>
      </c>
      <c r="AB77" s="136">
        <f t="shared" si="45"/>
        <v>6.1820633850303439</v>
      </c>
      <c r="AC77" s="137">
        <f t="shared" si="45"/>
        <v>5.0039292730844798</v>
      </c>
      <c r="AD77" s="275">
        <f t="shared" si="45"/>
        <v>3.8575969485060395</v>
      </c>
      <c r="AE77" s="136">
        <f t="shared" si="45"/>
        <v>2.7806853582554516</v>
      </c>
      <c r="AF77" s="136">
        <f t="shared" si="45"/>
        <v>1.7263286499694563</v>
      </c>
      <c r="AG77" s="7"/>
    </row>
    <row r="78" spans="1:33" ht="12.75" outlineLevel="1">
      <c r="A78" s="178"/>
      <c r="B78" s="178"/>
      <c r="C78" s="178"/>
      <c r="D78" s="178"/>
      <c r="E78" s="178"/>
      <c r="F78" s="178"/>
      <c r="G78" s="178"/>
      <c r="H78" s="178"/>
      <c r="I78" s="865"/>
      <c r="J78" s="893" t="s">
        <v>132</v>
      </c>
      <c r="K78" s="210" t="s">
        <v>133</v>
      </c>
      <c r="L78" s="136">
        <f t="shared" ref="L78:AF78" si="46">L58/L38</f>
        <v>7.975903614457831</v>
      </c>
      <c r="M78" s="136">
        <f t="shared" si="46"/>
        <v>5.6413043478260869</v>
      </c>
      <c r="N78" s="136">
        <f t="shared" si="46"/>
        <v>5.1422924901185771</v>
      </c>
      <c r="O78" s="136">
        <f t="shared" si="46"/>
        <v>3.6780575539568345</v>
      </c>
      <c r="P78" s="136">
        <f t="shared" si="46"/>
        <v>1.7412868632707774</v>
      </c>
      <c r="Q78" s="136">
        <f t="shared" si="46"/>
        <v>2.6694915254237288</v>
      </c>
      <c r="R78" s="136">
        <f t="shared" si="46"/>
        <v>3.0042372881355934</v>
      </c>
      <c r="S78" s="136">
        <f t="shared" si="46"/>
        <v>2.015229885057471</v>
      </c>
      <c r="T78" s="136">
        <f t="shared" si="46"/>
        <v>1.1880733944954129</v>
      </c>
      <c r="U78" s="136">
        <f t="shared" si="46"/>
        <v>15.817346938775509</v>
      </c>
      <c r="V78" s="136">
        <f t="shared" si="46"/>
        <v>16.048387096774192</v>
      </c>
      <c r="W78" s="137">
        <f t="shared" si="46"/>
        <v>22.503937007874015</v>
      </c>
      <c r="X78" s="136">
        <f t="shared" si="46"/>
        <v>20.014705882352942</v>
      </c>
      <c r="Y78" s="136">
        <f t="shared" si="46"/>
        <v>18.868613138686133</v>
      </c>
      <c r="Z78" s="136">
        <f t="shared" si="46"/>
        <v>17.076923076923077</v>
      </c>
      <c r="AA78" s="136">
        <f t="shared" si="46"/>
        <v>15.172185430463577</v>
      </c>
      <c r="AB78" s="136">
        <f t="shared" si="46"/>
        <v>13.408805031446541</v>
      </c>
      <c r="AC78" s="137">
        <f t="shared" si="46"/>
        <v>12.160493827160494</v>
      </c>
      <c r="AD78" s="275">
        <f t="shared" si="46"/>
        <v>10.796407185628743</v>
      </c>
      <c r="AE78" s="136">
        <f t="shared" si="46"/>
        <v>9.4825581395348841</v>
      </c>
      <c r="AF78" s="136">
        <f t="shared" si="46"/>
        <v>8.1117318435754182</v>
      </c>
      <c r="AG78" s="7"/>
    </row>
    <row r="79" spans="1:33" ht="12.75" outlineLevel="1">
      <c r="A79" s="178"/>
      <c r="B79" s="178"/>
      <c r="C79" s="178"/>
      <c r="D79" s="178"/>
      <c r="E79" s="178"/>
      <c r="F79" s="178"/>
      <c r="G79" s="178"/>
      <c r="H79" s="178"/>
      <c r="I79" s="865"/>
      <c r="J79" s="866"/>
      <c r="K79" s="210" t="s">
        <v>134</v>
      </c>
      <c r="L79" s="136">
        <f t="shared" ref="L79:AF79" si="47">L59/L39</f>
        <v>3.1494252873563218</v>
      </c>
      <c r="M79" s="136">
        <f t="shared" si="47"/>
        <v>3.3492063492063493</v>
      </c>
      <c r="N79" s="136">
        <f t="shared" si="47"/>
        <v>10.868852459016393</v>
      </c>
      <c r="O79" s="136">
        <f t="shared" si="47"/>
        <v>10.549504950495049</v>
      </c>
      <c r="P79" s="136">
        <f t="shared" si="47"/>
        <v>8.8657407407407405</v>
      </c>
      <c r="Q79" s="136">
        <f t="shared" si="47"/>
        <v>7.2543103448275863</v>
      </c>
      <c r="R79" s="136">
        <f t="shared" si="47"/>
        <v>14.3</v>
      </c>
      <c r="S79" s="136">
        <f t="shared" si="47"/>
        <v>7.232312925170068</v>
      </c>
      <c r="T79" s="136">
        <f t="shared" si="47"/>
        <v>5.8168316831683171</v>
      </c>
      <c r="U79" s="136">
        <f t="shared" si="47"/>
        <v>4.4308868501529046</v>
      </c>
      <c r="V79" s="136">
        <f t="shared" si="47"/>
        <v>4.7192982456140351</v>
      </c>
      <c r="W79" s="137">
        <f t="shared" si="47"/>
        <v>6.9900990099009901</v>
      </c>
      <c r="X79" s="136">
        <f t="shared" si="47"/>
        <v>5.8543689320388346</v>
      </c>
      <c r="Y79" s="136">
        <f t="shared" si="47"/>
        <v>4.7428571428571429</v>
      </c>
      <c r="Z79" s="136">
        <f t="shared" si="47"/>
        <v>3.6542056074766354</v>
      </c>
      <c r="AA79" s="136">
        <f t="shared" si="47"/>
        <v>11.718181818181819</v>
      </c>
      <c r="AB79" s="136">
        <f t="shared" si="47"/>
        <v>10.407079646017699</v>
      </c>
      <c r="AC79" s="276">
        <f t="shared" si="47"/>
        <v>9.2260869565217387</v>
      </c>
      <c r="AD79" s="277">
        <f t="shared" si="47"/>
        <v>7.9915254237288131</v>
      </c>
      <c r="AE79" s="136">
        <f t="shared" si="47"/>
        <v>6.666666666666667</v>
      </c>
      <c r="AF79" s="136">
        <f t="shared" si="47"/>
        <v>5.612903225806452</v>
      </c>
      <c r="AG79" s="7"/>
    </row>
    <row r="80" spans="1:33" ht="12.75" outlineLevel="1">
      <c r="A80" s="178"/>
      <c r="B80" s="178"/>
      <c r="C80" s="178"/>
      <c r="D80" s="178"/>
      <c r="E80" s="178"/>
      <c r="F80" s="178"/>
      <c r="G80" s="178"/>
      <c r="H80" s="178"/>
      <c r="I80" s="865"/>
      <c r="J80" s="895" t="s">
        <v>135</v>
      </c>
      <c r="K80" s="217" t="s">
        <v>136</v>
      </c>
      <c r="L80" s="136"/>
      <c r="M80" s="136"/>
      <c r="N80" s="136"/>
      <c r="O80" s="136"/>
      <c r="P80" s="136">
        <f t="shared" ref="P80:AF80" si="48">P60/P40</f>
        <v>11.490671641791044</v>
      </c>
      <c r="Q80" s="136">
        <f t="shared" si="48"/>
        <v>22.541071428571428</v>
      </c>
      <c r="R80" s="136">
        <f t="shared" si="48"/>
        <v>39.458333333333336</v>
      </c>
      <c r="S80" s="136">
        <f t="shared" si="48"/>
        <v>34.160919540229884</v>
      </c>
      <c r="T80" s="136">
        <f t="shared" si="48"/>
        <v>26.950934579439252</v>
      </c>
      <c r="U80" s="136">
        <f t="shared" si="48"/>
        <v>13.58235294117647</v>
      </c>
      <c r="V80" s="136">
        <f t="shared" si="48"/>
        <v>14.292073832790445</v>
      </c>
      <c r="W80" s="137">
        <f t="shared" si="48"/>
        <v>13.153763440860216</v>
      </c>
      <c r="X80" s="136">
        <f t="shared" si="48"/>
        <v>10.621085594989562</v>
      </c>
      <c r="Y80" s="136">
        <f t="shared" si="48"/>
        <v>3.7311271975180973</v>
      </c>
      <c r="Z80" s="136">
        <f t="shared" si="48"/>
        <v>2.6929375639713409</v>
      </c>
      <c r="AA80" s="136">
        <f t="shared" si="48"/>
        <v>-0.3606889564336373</v>
      </c>
      <c r="AB80" s="136">
        <f t="shared" si="48"/>
        <v>2.0546176762661372</v>
      </c>
      <c r="AC80" s="278">
        <f t="shared" si="48"/>
        <v>1.01460564751704</v>
      </c>
      <c r="AD80" s="279">
        <f t="shared" si="48"/>
        <v>-0.95988538681948421</v>
      </c>
      <c r="AE80" s="136">
        <f t="shared" si="48"/>
        <v>-2.8773408239700373</v>
      </c>
      <c r="AF80" s="136">
        <f t="shared" si="48"/>
        <v>-4.736697247706422</v>
      </c>
      <c r="AG80" s="7"/>
    </row>
    <row r="81" spans="1:33" ht="12.75" outlineLevel="1">
      <c r="A81" s="178"/>
      <c r="B81" s="178"/>
      <c r="C81" s="178"/>
      <c r="D81" s="178"/>
      <c r="E81" s="178"/>
      <c r="F81" s="178"/>
      <c r="G81" s="178"/>
      <c r="H81" s="178"/>
      <c r="I81" s="865"/>
      <c r="J81" s="865"/>
      <c r="K81" s="217" t="s">
        <v>137</v>
      </c>
      <c r="L81" s="136"/>
      <c r="M81" s="136"/>
      <c r="N81" s="136"/>
      <c r="O81" s="136"/>
      <c r="P81" s="136">
        <f t="shared" ref="P81:AF81" si="49">P61/P41</f>
        <v>11.813461538461539</v>
      </c>
      <c r="Q81" s="136">
        <f t="shared" si="49"/>
        <v>27.411637931034484</v>
      </c>
      <c r="R81" s="136">
        <f t="shared" si="49"/>
        <v>47.178030303030305</v>
      </c>
      <c r="S81" s="136">
        <f t="shared" si="49"/>
        <v>33.873595505617978</v>
      </c>
      <c r="T81" s="136">
        <f t="shared" si="49"/>
        <v>25.302173913043479</v>
      </c>
      <c r="U81" s="136">
        <f t="shared" si="49"/>
        <v>13.695652173913043</v>
      </c>
      <c r="V81" s="136">
        <f t="shared" si="49"/>
        <v>12.49665071770335</v>
      </c>
      <c r="W81" s="137">
        <f t="shared" si="49"/>
        <v>11.136617100371748</v>
      </c>
      <c r="X81" s="136">
        <f t="shared" si="49"/>
        <v>9.2734657039711195</v>
      </c>
      <c r="Y81" s="136">
        <f t="shared" si="49"/>
        <v>8.0848806366047743</v>
      </c>
      <c r="Z81" s="136">
        <f t="shared" si="49"/>
        <v>2.7162872154115587</v>
      </c>
      <c r="AA81" s="136">
        <f t="shared" si="49"/>
        <v>-4.4232437120555072E-2</v>
      </c>
      <c r="AB81" s="136">
        <f t="shared" si="49"/>
        <v>1.845959595959596</v>
      </c>
      <c r="AC81" s="136">
        <f t="shared" si="49"/>
        <v>0.80940594059405946</v>
      </c>
      <c r="AD81" s="137">
        <f t="shared" si="49"/>
        <v>-0.2872168284789644</v>
      </c>
      <c r="AE81" s="136">
        <f t="shared" si="49"/>
        <v>-1.3608247422680413</v>
      </c>
      <c r="AF81" s="136">
        <f t="shared" si="49"/>
        <v>-2.4121306376360807</v>
      </c>
      <c r="AG81" s="7"/>
    </row>
    <row r="82" spans="1:33" ht="12.75" outlineLevel="1">
      <c r="A82" s="178"/>
      <c r="B82" s="178"/>
      <c r="C82" s="178"/>
      <c r="D82" s="178"/>
      <c r="E82" s="178"/>
      <c r="F82" s="178"/>
      <c r="G82" s="178"/>
      <c r="H82" s="178"/>
      <c r="I82" s="865"/>
      <c r="J82" s="865"/>
      <c r="K82" s="217" t="s">
        <v>138</v>
      </c>
      <c r="L82" s="136"/>
      <c r="M82" s="136"/>
      <c r="N82" s="136"/>
      <c r="O82" s="136"/>
      <c r="P82" s="136">
        <f t="shared" ref="P82:AF82" si="50">P62/P42</f>
        <v>7.6568877551020407</v>
      </c>
      <c r="Q82" s="136">
        <f t="shared" si="50"/>
        <v>11.752118644067796</v>
      </c>
      <c r="R82" s="136">
        <f t="shared" si="50"/>
        <v>15.911585365853659</v>
      </c>
      <c r="S82" s="136">
        <f t="shared" si="50"/>
        <v>17.260563380281692</v>
      </c>
      <c r="T82" s="136">
        <f t="shared" si="50"/>
        <v>16.880434782608695</v>
      </c>
      <c r="U82" s="136">
        <f t="shared" si="50"/>
        <v>6.167272727272727</v>
      </c>
      <c r="V82" s="136">
        <f t="shared" si="50"/>
        <v>6.4223463687150835</v>
      </c>
      <c r="W82" s="137">
        <f t="shared" si="50"/>
        <v>5.2957283680175244</v>
      </c>
      <c r="X82" s="136">
        <f t="shared" si="50"/>
        <v>3.5488721804511276</v>
      </c>
      <c r="Y82" s="136">
        <f t="shared" si="50"/>
        <v>2.4778947368421052</v>
      </c>
      <c r="Z82" s="136">
        <f t="shared" si="50"/>
        <v>1.4520833333333334</v>
      </c>
      <c r="AA82" s="136">
        <f t="shared" si="50"/>
        <v>0.43859649122807015</v>
      </c>
      <c r="AB82" s="136">
        <f t="shared" si="50"/>
        <v>5.8026052104208414</v>
      </c>
      <c r="AC82" s="136">
        <f t="shared" si="50"/>
        <v>4.6886051080550102</v>
      </c>
      <c r="AD82" s="137">
        <f t="shared" si="50"/>
        <v>1.476419634263715</v>
      </c>
      <c r="AE82" s="136">
        <f t="shared" si="50"/>
        <v>-1.6288951841359773</v>
      </c>
      <c r="AF82" s="136">
        <f t="shared" si="50"/>
        <v>-4.6308973172987971</v>
      </c>
      <c r="AG82" s="7"/>
    </row>
    <row r="83" spans="1:33" ht="12.75" outlineLevel="1">
      <c r="A83" s="178"/>
      <c r="B83" s="178"/>
      <c r="C83" s="178"/>
      <c r="D83" s="178"/>
      <c r="E83" s="178"/>
      <c r="F83" s="178"/>
      <c r="G83" s="178"/>
      <c r="H83" s="178"/>
      <c r="I83" s="866"/>
      <c r="J83" s="866"/>
      <c r="K83" s="217" t="s">
        <v>139</v>
      </c>
      <c r="L83" s="136"/>
      <c r="M83" s="136"/>
      <c r="N83" s="136"/>
      <c r="O83" s="136"/>
      <c r="P83" s="136">
        <f t="shared" ref="P83:AF83" si="51">P63/P43</f>
        <v>5.4198473282442752</v>
      </c>
      <c r="Q83" s="136">
        <f t="shared" si="51"/>
        <v>14.148936170212766</v>
      </c>
      <c r="R83" s="136">
        <f t="shared" si="51"/>
        <v>12.854166666666666</v>
      </c>
      <c r="S83" s="136">
        <f t="shared" si="51"/>
        <v>22.231132075471699</v>
      </c>
      <c r="T83" s="136">
        <f t="shared" si="51"/>
        <v>13.580246913580247</v>
      </c>
      <c r="U83" s="136">
        <f t="shared" si="51"/>
        <v>5.860215053763441</v>
      </c>
      <c r="V83" s="136">
        <f t="shared" si="51"/>
        <v>7.6273291925465836</v>
      </c>
      <c r="W83" s="137">
        <f t="shared" si="51"/>
        <v>4.50063371356147</v>
      </c>
      <c r="X83" s="136">
        <f t="shared" si="51"/>
        <v>3.4554579673776664</v>
      </c>
      <c r="Y83" s="136">
        <f t="shared" si="51"/>
        <v>2.4211180124223604</v>
      </c>
      <c r="Z83" s="136">
        <f t="shared" si="51"/>
        <v>0.16728167281672818</v>
      </c>
      <c r="AA83" s="136">
        <f t="shared" si="51"/>
        <v>-0.83434835566382459</v>
      </c>
      <c r="AB83" s="136">
        <f t="shared" si="51"/>
        <v>6.3823178016726407</v>
      </c>
      <c r="AC83" s="136">
        <f t="shared" si="51"/>
        <v>1.7423887587822013</v>
      </c>
      <c r="AD83" s="276">
        <f t="shared" si="51"/>
        <v>0.70838117106773824</v>
      </c>
      <c r="AE83" s="136">
        <f t="shared" si="51"/>
        <v>-0.30596175478065241</v>
      </c>
      <c r="AF83" s="136">
        <f t="shared" si="51"/>
        <v>-1.3002207505518764</v>
      </c>
      <c r="AG83" s="7"/>
    </row>
    <row r="84" spans="1:33" ht="12.75" outlineLevel="1">
      <c r="A84" s="178"/>
      <c r="B84" s="178"/>
      <c r="C84" s="178"/>
      <c r="D84" s="178"/>
      <c r="E84" s="178"/>
      <c r="F84" s="178"/>
      <c r="G84" s="178"/>
      <c r="H84" s="178"/>
      <c r="I84" s="268"/>
      <c r="J84" s="896" t="s">
        <v>38</v>
      </c>
      <c r="K84" s="860"/>
      <c r="L84" s="280">
        <f t="shared" ref="L84:AF84" si="52">AVERAGE(L68:L83)</f>
        <v>3.3656159303896982</v>
      </c>
      <c r="M84" s="280">
        <f t="shared" si="52"/>
        <v>3.5745843940098694</v>
      </c>
      <c r="N84" s="280">
        <f t="shared" si="52"/>
        <v>4.0583624894330361</v>
      </c>
      <c r="O84" s="280">
        <f t="shared" si="52"/>
        <v>3.8659290569695308</v>
      </c>
      <c r="P84" s="280">
        <f t="shared" si="52"/>
        <v>5.6082093537534616</v>
      </c>
      <c r="Q84" s="280">
        <f t="shared" si="52"/>
        <v>10.557810309277063</v>
      </c>
      <c r="R84" s="280">
        <f t="shared" si="52"/>
        <v>14.348813726669709</v>
      </c>
      <c r="S84" s="280">
        <f t="shared" si="52"/>
        <v>14.593434516066614</v>
      </c>
      <c r="T84" s="280">
        <f t="shared" si="52"/>
        <v>18.275811584774154</v>
      </c>
      <c r="U84" s="280">
        <f t="shared" si="52"/>
        <v>15.620208023836186</v>
      </c>
      <c r="V84" s="280">
        <f t="shared" si="52"/>
        <v>15.167949669447237</v>
      </c>
      <c r="W84" s="281">
        <f t="shared" si="52"/>
        <v>13.652575919086853</v>
      </c>
      <c r="X84" s="280">
        <f t="shared" si="52"/>
        <v>12.48682386599091</v>
      </c>
      <c r="Y84" s="280">
        <f t="shared" si="52"/>
        <v>11.229839917688606</v>
      </c>
      <c r="Z84" s="280">
        <f t="shared" si="52"/>
        <v>9.1141823120610077</v>
      </c>
      <c r="AA84" s="280">
        <f t="shared" si="52"/>
        <v>7.9224982419806063</v>
      </c>
      <c r="AB84" s="280">
        <f t="shared" si="52"/>
        <v>7.7157799918061531</v>
      </c>
      <c r="AC84" s="280">
        <f t="shared" si="52"/>
        <v>6.3605176643640968</v>
      </c>
      <c r="AD84" s="282">
        <f t="shared" si="52"/>
        <v>4.6958337086080739</v>
      </c>
      <c r="AE84" s="280">
        <f t="shared" si="52"/>
        <v>2.320783702231008</v>
      </c>
      <c r="AF84" s="280">
        <f t="shared" si="52"/>
        <v>0.82000684813166891</v>
      </c>
      <c r="AG84" s="7"/>
    </row>
    <row r="85" spans="1:33" ht="12.75">
      <c r="A85" s="178"/>
      <c r="B85" s="178"/>
      <c r="C85" s="178"/>
      <c r="D85" s="178"/>
      <c r="E85" s="178"/>
      <c r="F85" s="178"/>
      <c r="G85" s="178"/>
      <c r="H85" s="178"/>
      <c r="AG85" s="7"/>
    </row>
    <row r="86" spans="1:33" ht="12.75">
      <c r="A86" s="178"/>
      <c r="B86" s="178"/>
      <c r="C86" s="178"/>
      <c r="D86" s="178"/>
      <c r="E86" s="178"/>
      <c r="F86" s="178"/>
      <c r="G86" s="178"/>
      <c r="H86" s="178"/>
      <c r="AG86" s="7"/>
    </row>
    <row r="87" spans="1:33" ht="12.75">
      <c r="A87" s="178"/>
      <c r="B87" s="178"/>
      <c r="C87" s="178"/>
      <c r="D87" s="178"/>
      <c r="E87" s="178"/>
      <c r="F87" s="178"/>
      <c r="G87" s="178"/>
      <c r="H87" s="178"/>
    </row>
    <row r="88" spans="1:33" ht="12.75">
      <c r="A88" s="178"/>
      <c r="B88" s="178"/>
      <c r="C88" s="178"/>
      <c r="D88" s="178"/>
      <c r="E88" s="178"/>
      <c r="F88" s="178"/>
      <c r="G88" s="178"/>
      <c r="H88" s="178"/>
    </row>
    <row r="89" spans="1:33" ht="12.75">
      <c r="A89" s="178"/>
      <c r="B89" s="178"/>
      <c r="C89" s="178"/>
      <c r="D89" s="178"/>
      <c r="E89" s="178"/>
      <c r="F89" s="178"/>
      <c r="G89" s="178"/>
      <c r="H89" s="178"/>
    </row>
    <row r="90" spans="1:33" ht="12.75">
      <c r="A90" s="178"/>
      <c r="B90" s="178"/>
      <c r="C90" s="178"/>
      <c r="D90" s="178"/>
      <c r="E90" s="178"/>
      <c r="F90" s="178"/>
      <c r="G90" s="178"/>
      <c r="H90" s="178"/>
    </row>
    <row r="91" spans="1:33" ht="12.75">
      <c r="A91" s="178"/>
      <c r="B91" s="178"/>
      <c r="C91" s="178"/>
      <c r="D91" s="178"/>
      <c r="E91" s="178"/>
      <c r="F91" s="178"/>
      <c r="G91" s="178"/>
      <c r="H91" s="178"/>
    </row>
    <row r="92" spans="1:33" ht="12.75">
      <c r="A92" s="178"/>
      <c r="B92" s="178"/>
      <c r="C92" s="178"/>
      <c r="D92" s="178"/>
      <c r="E92" s="178"/>
      <c r="F92" s="178"/>
      <c r="G92" s="178"/>
      <c r="H92" s="178"/>
    </row>
    <row r="93" spans="1:33" ht="12.75">
      <c r="A93" s="178"/>
      <c r="B93" s="178"/>
      <c r="C93" s="178"/>
      <c r="D93" s="178"/>
      <c r="E93" s="178"/>
      <c r="F93" s="178"/>
      <c r="G93" s="178"/>
      <c r="H93" s="178"/>
    </row>
    <row r="94" spans="1:33" ht="12.75">
      <c r="A94" s="178"/>
      <c r="B94" s="178"/>
      <c r="C94" s="178"/>
      <c r="D94" s="178"/>
      <c r="E94" s="178"/>
      <c r="F94" s="178"/>
      <c r="G94" s="178"/>
      <c r="H94" s="178"/>
    </row>
    <row r="95" spans="1:33" ht="12.75">
      <c r="A95" s="178"/>
      <c r="B95" s="178"/>
      <c r="C95" s="178"/>
      <c r="D95" s="178"/>
      <c r="E95" s="178"/>
      <c r="F95" s="178"/>
      <c r="G95" s="178"/>
      <c r="H95" s="178"/>
    </row>
    <row r="96" spans="1:33" ht="12.75">
      <c r="A96" s="178"/>
      <c r="B96" s="178"/>
      <c r="C96" s="178"/>
      <c r="D96" s="178"/>
      <c r="E96" s="178"/>
      <c r="F96" s="178"/>
      <c r="G96" s="178"/>
      <c r="H96" s="178"/>
    </row>
    <row r="97" spans="1:8" ht="12.75">
      <c r="A97" s="178"/>
      <c r="B97" s="178"/>
      <c r="C97" s="178"/>
      <c r="D97" s="178"/>
      <c r="E97" s="178"/>
      <c r="F97" s="178"/>
      <c r="G97" s="178"/>
      <c r="H97" s="178"/>
    </row>
    <row r="98" spans="1:8" ht="12.75">
      <c r="A98" s="178"/>
      <c r="B98" s="178"/>
      <c r="C98" s="178"/>
      <c r="D98" s="178"/>
      <c r="E98" s="178"/>
      <c r="F98" s="178"/>
      <c r="G98" s="178"/>
      <c r="H98" s="178"/>
    </row>
    <row r="99" spans="1:8" ht="12.75">
      <c r="A99" s="178"/>
      <c r="B99" s="178"/>
      <c r="C99" s="178"/>
      <c r="D99" s="178"/>
      <c r="E99" s="178"/>
      <c r="F99" s="178"/>
      <c r="G99" s="178"/>
      <c r="H99" s="178"/>
    </row>
    <row r="100" spans="1:8" ht="12.75">
      <c r="A100" s="178"/>
      <c r="B100" s="178"/>
      <c r="C100" s="178"/>
      <c r="D100" s="178"/>
      <c r="E100" s="178"/>
      <c r="F100" s="178"/>
      <c r="G100" s="178"/>
      <c r="H100" s="178"/>
    </row>
    <row r="101" spans="1:8" ht="12.75">
      <c r="A101" s="178"/>
      <c r="B101" s="178"/>
      <c r="C101" s="178"/>
      <c r="D101" s="178"/>
      <c r="E101" s="178"/>
      <c r="F101" s="178"/>
      <c r="G101" s="178"/>
      <c r="H101" s="178"/>
    </row>
    <row r="102" spans="1:8" ht="12.75">
      <c r="A102" s="178"/>
      <c r="B102" s="178"/>
      <c r="C102" s="178"/>
      <c r="D102" s="178"/>
      <c r="E102" s="178"/>
      <c r="F102" s="178"/>
      <c r="G102" s="178"/>
      <c r="H102" s="178"/>
    </row>
    <row r="103" spans="1:8" ht="12.75">
      <c r="A103" s="178"/>
      <c r="B103" s="178"/>
      <c r="C103" s="178"/>
      <c r="D103" s="178"/>
      <c r="E103" s="178"/>
      <c r="F103" s="178"/>
      <c r="G103" s="178"/>
      <c r="H103" s="178"/>
    </row>
    <row r="104" spans="1:8" ht="12.75">
      <c r="A104" s="178"/>
      <c r="B104" s="178"/>
      <c r="C104" s="178"/>
      <c r="D104" s="178"/>
      <c r="E104" s="178"/>
      <c r="F104" s="178"/>
      <c r="G104" s="178"/>
      <c r="H104" s="178"/>
    </row>
    <row r="105" spans="1:8" ht="12.75">
      <c r="A105" s="178"/>
      <c r="B105" s="178"/>
      <c r="C105" s="178"/>
      <c r="D105" s="178"/>
      <c r="E105" s="178"/>
      <c r="F105" s="178"/>
      <c r="G105" s="178"/>
      <c r="H105" s="178"/>
    </row>
    <row r="106" spans="1:8" ht="12.75">
      <c r="A106" s="178"/>
      <c r="B106" s="178"/>
      <c r="C106" s="178"/>
      <c r="D106" s="178"/>
      <c r="E106" s="178"/>
      <c r="F106" s="178"/>
      <c r="G106" s="178"/>
      <c r="H106" s="178"/>
    </row>
    <row r="107" spans="1:8" ht="12.75">
      <c r="A107" s="178"/>
      <c r="B107" s="178"/>
      <c r="C107" s="178"/>
      <c r="D107" s="178"/>
      <c r="E107" s="178"/>
      <c r="F107" s="178"/>
      <c r="G107" s="178"/>
      <c r="H107" s="178"/>
    </row>
    <row r="108" spans="1:8" ht="12.75">
      <c r="A108" s="178"/>
      <c r="B108" s="178"/>
      <c r="C108" s="178"/>
      <c r="D108" s="178"/>
      <c r="E108" s="178"/>
      <c r="F108" s="178"/>
      <c r="G108" s="178"/>
      <c r="H108" s="178"/>
    </row>
    <row r="109" spans="1:8" ht="12.75">
      <c r="A109" s="178"/>
      <c r="B109" s="178"/>
      <c r="C109" s="178"/>
      <c r="D109" s="178"/>
      <c r="E109" s="178"/>
      <c r="F109" s="178"/>
      <c r="G109" s="178"/>
      <c r="H109" s="178"/>
    </row>
    <row r="110" spans="1:8" ht="12.75">
      <c r="A110" s="178"/>
      <c r="B110" s="178"/>
      <c r="C110" s="178"/>
      <c r="D110" s="178"/>
      <c r="E110" s="178"/>
      <c r="F110" s="178"/>
      <c r="G110" s="178"/>
      <c r="H110" s="178"/>
    </row>
    <row r="111" spans="1:8" ht="12.75">
      <c r="A111" s="178"/>
      <c r="B111" s="178"/>
      <c r="C111" s="178"/>
      <c r="D111" s="178"/>
      <c r="E111" s="178"/>
      <c r="F111" s="178"/>
      <c r="G111" s="178"/>
      <c r="H111" s="178"/>
    </row>
    <row r="112" spans="1:8" ht="12.75">
      <c r="A112" s="178"/>
      <c r="B112" s="178"/>
      <c r="C112" s="178"/>
      <c r="D112" s="178"/>
      <c r="E112" s="178"/>
      <c r="F112" s="178"/>
      <c r="G112" s="178"/>
      <c r="H112" s="178"/>
    </row>
    <row r="113" spans="1:8" ht="12.75">
      <c r="A113" s="178"/>
      <c r="B113" s="178"/>
      <c r="C113" s="178"/>
      <c r="D113" s="178"/>
      <c r="E113" s="178"/>
      <c r="F113" s="178"/>
      <c r="G113" s="178"/>
      <c r="H113" s="178"/>
    </row>
    <row r="114" spans="1:8" ht="12.75">
      <c r="A114" s="178"/>
      <c r="B114" s="178"/>
      <c r="C114" s="178"/>
      <c r="D114" s="178"/>
      <c r="E114" s="178"/>
      <c r="F114" s="178"/>
      <c r="G114" s="178"/>
      <c r="H114" s="178"/>
    </row>
    <row r="115" spans="1:8" ht="12.75">
      <c r="A115" s="178"/>
      <c r="B115" s="178"/>
      <c r="C115" s="178"/>
      <c r="D115" s="178"/>
      <c r="E115" s="178"/>
      <c r="F115" s="178"/>
      <c r="G115" s="178"/>
      <c r="H115" s="178"/>
    </row>
    <row r="116" spans="1:8" ht="12.75">
      <c r="A116" s="178"/>
      <c r="B116" s="178"/>
      <c r="C116" s="178"/>
      <c r="D116" s="178"/>
      <c r="E116" s="178"/>
      <c r="F116" s="178"/>
      <c r="G116" s="178"/>
      <c r="H116" s="178"/>
    </row>
    <row r="117" spans="1:8" ht="12.75">
      <c r="A117" s="178"/>
      <c r="B117" s="178"/>
      <c r="C117" s="178"/>
      <c r="D117" s="178"/>
      <c r="E117" s="178"/>
      <c r="F117" s="178"/>
      <c r="G117" s="178"/>
      <c r="H117" s="178"/>
    </row>
    <row r="118" spans="1:8" ht="12.75">
      <c r="A118" s="178"/>
      <c r="B118" s="178"/>
      <c r="C118" s="178"/>
      <c r="D118" s="178"/>
      <c r="E118" s="178"/>
      <c r="F118" s="178"/>
      <c r="G118" s="178"/>
      <c r="H118" s="178"/>
    </row>
    <row r="119" spans="1:8" ht="12.75">
      <c r="A119" s="178"/>
      <c r="B119" s="178"/>
      <c r="C119" s="178"/>
      <c r="D119" s="178"/>
      <c r="E119" s="178"/>
      <c r="F119" s="178"/>
      <c r="G119" s="178"/>
      <c r="H119" s="178"/>
    </row>
    <row r="120" spans="1:8" ht="12.75">
      <c r="A120" s="178"/>
      <c r="B120" s="178"/>
      <c r="C120" s="178"/>
      <c r="D120" s="178"/>
      <c r="E120" s="178"/>
      <c r="F120" s="178"/>
      <c r="G120" s="178"/>
      <c r="H120" s="178"/>
    </row>
    <row r="121" spans="1:8" ht="12.75">
      <c r="A121" s="178"/>
      <c r="B121" s="178"/>
      <c r="C121" s="178"/>
      <c r="D121" s="178"/>
      <c r="E121" s="178"/>
      <c r="F121" s="178"/>
      <c r="G121" s="178"/>
      <c r="H121" s="178"/>
    </row>
    <row r="122" spans="1:8" ht="12.75">
      <c r="A122" s="178"/>
      <c r="B122" s="178"/>
      <c r="C122" s="178"/>
      <c r="D122" s="178"/>
      <c r="E122" s="178"/>
      <c r="F122" s="178"/>
      <c r="G122" s="178"/>
      <c r="H122" s="178"/>
    </row>
    <row r="123" spans="1:8" ht="12.75">
      <c r="A123" s="178"/>
      <c r="B123" s="178"/>
      <c r="C123" s="178"/>
      <c r="D123" s="178"/>
      <c r="E123" s="178"/>
      <c r="F123" s="178"/>
      <c r="G123" s="178"/>
      <c r="H123" s="178"/>
    </row>
    <row r="124" spans="1:8" ht="12.75">
      <c r="A124" s="178"/>
      <c r="B124" s="178"/>
      <c r="C124" s="178"/>
      <c r="D124" s="178"/>
      <c r="E124" s="178"/>
      <c r="F124" s="178"/>
      <c r="G124" s="178"/>
      <c r="H124" s="178"/>
    </row>
    <row r="125" spans="1:8" ht="12.75">
      <c r="A125" s="178"/>
      <c r="B125" s="178"/>
      <c r="C125" s="178"/>
      <c r="D125" s="178"/>
      <c r="E125" s="178"/>
      <c r="F125" s="178"/>
      <c r="G125" s="178"/>
      <c r="H125" s="178"/>
    </row>
    <row r="126" spans="1:8" ht="12.75">
      <c r="A126" s="178"/>
      <c r="B126" s="178"/>
      <c r="C126" s="178"/>
      <c r="D126" s="178"/>
      <c r="E126" s="178"/>
      <c r="F126" s="178"/>
      <c r="G126" s="178"/>
      <c r="H126" s="178"/>
    </row>
    <row r="127" spans="1:8" ht="12.75">
      <c r="A127" s="178"/>
      <c r="B127" s="178"/>
      <c r="C127" s="178"/>
      <c r="D127" s="178"/>
      <c r="E127" s="178"/>
      <c r="F127" s="178"/>
      <c r="G127" s="178"/>
      <c r="H127" s="178"/>
    </row>
    <row r="128" spans="1:8" ht="12.75">
      <c r="A128" s="178"/>
      <c r="B128" s="178"/>
      <c r="C128" s="178"/>
      <c r="D128" s="178"/>
      <c r="E128" s="178"/>
      <c r="F128" s="178"/>
      <c r="G128" s="178"/>
      <c r="H128" s="178"/>
    </row>
    <row r="129" spans="1:8" ht="12.75">
      <c r="A129" s="178"/>
      <c r="B129" s="178"/>
      <c r="C129" s="178"/>
      <c r="D129" s="178"/>
      <c r="E129" s="178"/>
      <c r="F129" s="178"/>
      <c r="G129" s="178"/>
      <c r="H129" s="178"/>
    </row>
    <row r="130" spans="1:8" ht="12.75">
      <c r="A130" s="178"/>
      <c r="B130" s="178"/>
      <c r="C130" s="178"/>
      <c r="D130" s="178"/>
      <c r="E130" s="178"/>
      <c r="F130" s="178"/>
      <c r="G130" s="178"/>
      <c r="H130" s="178"/>
    </row>
    <row r="131" spans="1:8" ht="12.75">
      <c r="A131" s="178"/>
      <c r="B131" s="178"/>
      <c r="C131" s="178"/>
      <c r="D131" s="178"/>
      <c r="E131" s="178"/>
      <c r="F131" s="178"/>
      <c r="G131" s="178"/>
      <c r="H131" s="178"/>
    </row>
    <row r="132" spans="1:8" ht="12.75">
      <c r="A132" s="178"/>
      <c r="B132" s="178"/>
      <c r="C132" s="178"/>
      <c r="D132" s="178"/>
      <c r="E132" s="178"/>
      <c r="F132" s="178"/>
      <c r="G132" s="178"/>
      <c r="H132" s="178"/>
    </row>
    <row r="133" spans="1:8" ht="12.75">
      <c r="A133" s="178"/>
      <c r="B133" s="178"/>
      <c r="C133" s="178"/>
      <c r="D133" s="178"/>
      <c r="E133" s="178"/>
      <c r="F133" s="178"/>
      <c r="G133" s="178"/>
      <c r="H133" s="178"/>
    </row>
    <row r="134" spans="1:8" ht="12.75">
      <c r="A134" s="178"/>
      <c r="B134" s="178"/>
      <c r="C134" s="178"/>
      <c r="D134" s="178"/>
      <c r="E134" s="178"/>
      <c r="F134" s="178"/>
      <c r="G134" s="178"/>
      <c r="H134" s="178"/>
    </row>
    <row r="135" spans="1:8" ht="12.75">
      <c r="A135" s="178"/>
      <c r="B135" s="178"/>
      <c r="C135" s="178"/>
      <c r="D135" s="178"/>
      <c r="E135" s="178"/>
      <c r="F135" s="178"/>
      <c r="G135" s="178"/>
      <c r="H135" s="178"/>
    </row>
    <row r="136" spans="1:8" ht="12.75">
      <c r="A136" s="178"/>
      <c r="B136" s="178"/>
      <c r="C136" s="178"/>
      <c r="D136" s="178"/>
      <c r="E136" s="178"/>
      <c r="F136" s="178"/>
      <c r="G136" s="178"/>
      <c r="H136" s="178"/>
    </row>
    <row r="137" spans="1:8" ht="12.75">
      <c r="A137" s="178"/>
      <c r="B137" s="178"/>
      <c r="C137" s="178"/>
      <c r="D137" s="178"/>
      <c r="E137" s="178"/>
      <c r="F137" s="178"/>
      <c r="G137" s="178"/>
      <c r="H137" s="178"/>
    </row>
    <row r="138" spans="1:8" ht="12.75">
      <c r="A138" s="178"/>
      <c r="B138" s="178"/>
      <c r="C138" s="178"/>
      <c r="D138" s="178"/>
      <c r="E138" s="178"/>
      <c r="F138" s="178"/>
      <c r="G138" s="178"/>
      <c r="H138" s="178"/>
    </row>
    <row r="139" spans="1:8" ht="12.75">
      <c r="A139" s="178"/>
      <c r="B139" s="178"/>
      <c r="C139" s="178"/>
      <c r="D139" s="178"/>
      <c r="E139" s="178"/>
      <c r="F139" s="178"/>
      <c r="G139" s="178"/>
      <c r="H139" s="178"/>
    </row>
    <row r="140" spans="1:8" ht="12.75">
      <c r="A140" s="178"/>
      <c r="B140" s="178"/>
      <c r="C140" s="178"/>
      <c r="D140" s="178"/>
      <c r="E140" s="178"/>
      <c r="F140" s="178"/>
      <c r="G140" s="178"/>
      <c r="H140" s="178"/>
    </row>
    <row r="141" spans="1:8" ht="12.75">
      <c r="A141" s="178"/>
      <c r="B141" s="178"/>
      <c r="C141" s="178"/>
      <c r="D141" s="178"/>
      <c r="E141" s="178"/>
      <c r="F141" s="178"/>
      <c r="G141" s="178"/>
      <c r="H141" s="178"/>
    </row>
    <row r="142" spans="1:8" ht="12.75">
      <c r="A142" s="178"/>
      <c r="B142" s="178"/>
      <c r="C142" s="178"/>
      <c r="D142" s="178"/>
      <c r="E142" s="178"/>
      <c r="F142" s="178"/>
      <c r="G142" s="178"/>
      <c r="H142" s="178"/>
    </row>
    <row r="143" spans="1:8" ht="12.75">
      <c r="A143" s="178"/>
      <c r="B143" s="178"/>
      <c r="C143" s="178"/>
      <c r="D143" s="178"/>
      <c r="E143" s="178"/>
      <c r="F143" s="178"/>
      <c r="G143" s="178"/>
      <c r="H143" s="178"/>
    </row>
    <row r="144" spans="1:8" ht="12.75">
      <c r="A144" s="178"/>
      <c r="B144" s="178"/>
      <c r="C144" s="178"/>
      <c r="D144" s="178"/>
      <c r="E144" s="178"/>
      <c r="F144" s="178"/>
      <c r="G144" s="178"/>
      <c r="H144" s="178"/>
    </row>
    <row r="145" spans="1:8" ht="12.75">
      <c r="A145" s="178"/>
      <c r="B145" s="178"/>
      <c r="C145" s="178"/>
      <c r="D145" s="178"/>
      <c r="E145" s="178"/>
      <c r="F145" s="178"/>
      <c r="G145" s="178"/>
      <c r="H145" s="178"/>
    </row>
    <row r="146" spans="1:8" ht="12.75">
      <c r="A146" s="178"/>
      <c r="B146" s="178"/>
      <c r="C146" s="178"/>
      <c r="D146" s="178"/>
      <c r="E146" s="178"/>
      <c r="F146" s="178"/>
      <c r="G146" s="178"/>
      <c r="H146" s="178"/>
    </row>
    <row r="147" spans="1:8" ht="12.75">
      <c r="A147" s="178"/>
      <c r="B147" s="178"/>
      <c r="C147" s="178"/>
      <c r="D147" s="178"/>
      <c r="E147" s="178"/>
      <c r="F147" s="178"/>
      <c r="G147" s="178"/>
      <c r="H147" s="178"/>
    </row>
    <row r="148" spans="1:8" ht="12.75">
      <c r="A148" s="178"/>
      <c r="B148" s="178"/>
      <c r="C148" s="178"/>
      <c r="D148" s="178"/>
      <c r="E148" s="178"/>
      <c r="F148" s="178"/>
      <c r="G148" s="178"/>
      <c r="H148" s="178"/>
    </row>
    <row r="149" spans="1:8" ht="12.75">
      <c r="A149" s="178"/>
      <c r="B149" s="178"/>
      <c r="C149" s="178"/>
      <c r="D149" s="178"/>
      <c r="E149" s="178"/>
      <c r="F149" s="178"/>
      <c r="G149" s="178"/>
      <c r="H149" s="178"/>
    </row>
    <row r="150" spans="1:8" ht="12.75">
      <c r="A150" s="178"/>
      <c r="B150" s="178"/>
      <c r="C150" s="178"/>
      <c r="D150" s="178"/>
      <c r="E150" s="178"/>
      <c r="F150" s="178"/>
      <c r="G150" s="178"/>
      <c r="H150" s="178"/>
    </row>
    <row r="151" spans="1:8" ht="12.75">
      <c r="A151" s="178"/>
      <c r="B151" s="178"/>
      <c r="C151" s="178"/>
      <c r="D151" s="178"/>
      <c r="E151" s="178"/>
      <c r="F151" s="178"/>
      <c r="G151" s="178"/>
      <c r="H151" s="178"/>
    </row>
    <row r="152" spans="1:8" ht="12.75">
      <c r="A152" s="178"/>
      <c r="B152" s="178"/>
      <c r="C152" s="178"/>
      <c r="D152" s="178"/>
      <c r="E152" s="178"/>
      <c r="F152" s="178"/>
      <c r="G152" s="178"/>
      <c r="H152" s="178"/>
    </row>
    <row r="153" spans="1:8" ht="12.75">
      <c r="A153" s="178"/>
      <c r="B153" s="178"/>
      <c r="C153" s="178"/>
      <c r="D153" s="178"/>
      <c r="E153" s="178"/>
      <c r="F153" s="178"/>
      <c r="G153" s="178"/>
      <c r="H153" s="178"/>
    </row>
    <row r="154" spans="1:8" ht="12.75">
      <c r="A154" s="178"/>
      <c r="B154" s="178"/>
      <c r="C154" s="178"/>
      <c r="D154" s="178"/>
      <c r="E154" s="178"/>
      <c r="F154" s="178"/>
      <c r="G154" s="178"/>
      <c r="H154" s="178"/>
    </row>
    <row r="155" spans="1:8" ht="12.75">
      <c r="A155" s="178"/>
      <c r="B155" s="178"/>
      <c r="C155" s="178"/>
      <c r="D155" s="178"/>
      <c r="E155" s="178"/>
      <c r="F155" s="178"/>
      <c r="G155" s="178"/>
      <c r="H155" s="178"/>
    </row>
    <row r="156" spans="1:8" ht="12.75">
      <c r="A156" s="178"/>
      <c r="B156" s="178"/>
      <c r="C156" s="178"/>
      <c r="D156" s="178"/>
      <c r="E156" s="178"/>
      <c r="F156" s="178"/>
      <c r="G156" s="178"/>
      <c r="H156" s="178"/>
    </row>
    <row r="157" spans="1:8" ht="12.75">
      <c r="A157" s="178"/>
      <c r="B157" s="178"/>
      <c r="C157" s="178"/>
      <c r="D157" s="178"/>
      <c r="E157" s="178"/>
      <c r="F157" s="178"/>
      <c r="G157" s="178"/>
      <c r="H157" s="178"/>
    </row>
    <row r="158" spans="1:8" ht="12.75">
      <c r="A158" s="178"/>
      <c r="B158" s="178"/>
      <c r="C158" s="178"/>
      <c r="D158" s="178"/>
      <c r="E158" s="178"/>
      <c r="F158" s="178"/>
      <c r="G158" s="178"/>
      <c r="H158" s="178"/>
    </row>
    <row r="159" spans="1:8" ht="12.75">
      <c r="A159" s="178"/>
      <c r="B159" s="178"/>
      <c r="C159" s="178"/>
      <c r="D159" s="178"/>
      <c r="E159" s="178"/>
      <c r="F159" s="178"/>
      <c r="G159" s="178"/>
      <c r="H159" s="178"/>
    </row>
    <row r="160" spans="1:8" ht="12.75">
      <c r="A160" s="178"/>
      <c r="B160" s="178"/>
      <c r="C160" s="178"/>
      <c r="D160" s="178"/>
      <c r="E160" s="178"/>
      <c r="F160" s="178"/>
      <c r="G160" s="178"/>
      <c r="H160" s="178"/>
    </row>
    <row r="161" spans="1:8" ht="12.75">
      <c r="A161" s="178"/>
      <c r="B161" s="178"/>
      <c r="C161" s="178"/>
      <c r="D161" s="178"/>
      <c r="E161" s="178"/>
      <c r="F161" s="178"/>
      <c r="G161" s="178"/>
      <c r="H161" s="178"/>
    </row>
    <row r="162" spans="1:8" ht="12.75">
      <c r="A162" s="178"/>
      <c r="B162" s="178"/>
      <c r="C162" s="178"/>
      <c r="D162" s="178"/>
      <c r="E162" s="178"/>
      <c r="F162" s="178"/>
      <c r="G162" s="178"/>
      <c r="H162" s="178"/>
    </row>
    <row r="163" spans="1:8" ht="12.75">
      <c r="A163" s="178"/>
      <c r="B163" s="178"/>
      <c r="C163" s="178"/>
      <c r="D163" s="178"/>
      <c r="E163" s="178"/>
      <c r="F163" s="178"/>
      <c r="G163" s="178"/>
      <c r="H163" s="178"/>
    </row>
    <row r="164" spans="1:8" ht="12.75">
      <c r="A164" s="178"/>
      <c r="B164" s="178"/>
      <c r="C164" s="178"/>
      <c r="D164" s="178"/>
      <c r="E164" s="178"/>
      <c r="F164" s="178"/>
      <c r="G164" s="178"/>
      <c r="H164" s="178"/>
    </row>
    <row r="165" spans="1:8" ht="12.75">
      <c r="A165" s="178"/>
      <c r="B165" s="178"/>
      <c r="C165" s="178"/>
      <c r="D165" s="178"/>
      <c r="E165" s="178"/>
      <c r="F165" s="178"/>
      <c r="G165" s="178"/>
      <c r="H165" s="178"/>
    </row>
    <row r="166" spans="1:8" ht="12.75">
      <c r="A166" s="178"/>
      <c r="B166" s="178"/>
      <c r="C166" s="178"/>
      <c r="D166" s="178"/>
      <c r="E166" s="178"/>
      <c r="F166" s="178"/>
      <c r="G166" s="178"/>
      <c r="H166" s="178"/>
    </row>
    <row r="167" spans="1:8" ht="12.75">
      <c r="A167" s="178"/>
      <c r="B167" s="178"/>
      <c r="C167" s="178"/>
      <c r="D167" s="178"/>
      <c r="E167" s="178"/>
      <c r="F167" s="178"/>
      <c r="G167" s="178"/>
      <c r="H167" s="178"/>
    </row>
    <row r="168" spans="1:8" ht="12.75">
      <c r="A168" s="178"/>
      <c r="B168" s="178"/>
      <c r="C168" s="178"/>
      <c r="D168" s="178"/>
      <c r="E168" s="178"/>
      <c r="F168" s="178"/>
      <c r="G168" s="178"/>
      <c r="H168" s="178"/>
    </row>
    <row r="169" spans="1:8" ht="12.75">
      <c r="A169" s="178"/>
      <c r="B169" s="178"/>
      <c r="C169" s="178"/>
      <c r="D169" s="178"/>
      <c r="E169" s="178"/>
      <c r="F169" s="178"/>
      <c r="G169" s="178"/>
      <c r="H169" s="178"/>
    </row>
    <row r="170" spans="1:8" ht="12.75">
      <c r="A170" s="178"/>
      <c r="B170" s="178"/>
      <c r="C170" s="178"/>
      <c r="D170" s="178"/>
      <c r="E170" s="178"/>
      <c r="F170" s="178"/>
      <c r="G170" s="178"/>
      <c r="H170" s="178"/>
    </row>
    <row r="171" spans="1:8" ht="12.75">
      <c r="A171" s="178"/>
      <c r="B171" s="178"/>
      <c r="C171" s="178"/>
      <c r="D171" s="178"/>
      <c r="E171" s="178"/>
      <c r="F171" s="178"/>
      <c r="G171" s="178"/>
      <c r="H171" s="178"/>
    </row>
    <row r="172" spans="1:8" ht="12.75">
      <c r="A172" s="178"/>
      <c r="B172" s="178"/>
      <c r="C172" s="178"/>
      <c r="D172" s="178"/>
      <c r="E172" s="178"/>
      <c r="F172" s="178"/>
      <c r="G172" s="178"/>
      <c r="H172" s="178"/>
    </row>
    <row r="173" spans="1:8" ht="12.75">
      <c r="A173" s="178"/>
      <c r="B173" s="178"/>
      <c r="C173" s="178"/>
      <c r="D173" s="178"/>
      <c r="E173" s="178"/>
      <c r="F173" s="178"/>
      <c r="G173" s="178"/>
      <c r="H173" s="178"/>
    </row>
    <row r="174" spans="1:8" ht="12.75">
      <c r="A174" s="178"/>
      <c r="B174" s="178"/>
      <c r="C174" s="178"/>
      <c r="D174" s="178"/>
      <c r="E174" s="178"/>
      <c r="F174" s="178"/>
      <c r="G174" s="178"/>
      <c r="H174" s="178"/>
    </row>
    <row r="175" spans="1:8" ht="12.75">
      <c r="A175" s="178"/>
      <c r="B175" s="178"/>
      <c r="C175" s="178"/>
      <c r="D175" s="178"/>
      <c r="E175" s="178"/>
      <c r="F175" s="178"/>
      <c r="G175" s="178"/>
      <c r="H175" s="178"/>
    </row>
    <row r="176" spans="1:8" ht="12.75">
      <c r="A176" s="178"/>
      <c r="B176" s="178"/>
      <c r="C176" s="178"/>
      <c r="D176" s="178"/>
      <c r="E176" s="178"/>
      <c r="F176" s="178"/>
      <c r="G176" s="178"/>
      <c r="H176" s="178"/>
    </row>
    <row r="177" spans="1:8" ht="12.75">
      <c r="A177" s="178"/>
      <c r="B177" s="178"/>
      <c r="C177" s="178"/>
      <c r="D177" s="178"/>
      <c r="E177" s="178"/>
      <c r="F177" s="178"/>
      <c r="G177" s="178"/>
      <c r="H177" s="178"/>
    </row>
    <row r="178" spans="1:8" ht="12.75">
      <c r="A178" s="178"/>
      <c r="B178" s="178"/>
      <c r="C178" s="178"/>
      <c r="D178" s="178"/>
      <c r="E178" s="178"/>
      <c r="F178" s="178"/>
      <c r="G178" s="178"/>
      <c r="H178" s="178"/>
    </row>
    <row r="179" spans="1:8" ht="12.75">
      <c r="A179" s="178"/>
      <c r="B179" s="178"/>
      <c r="C179" s="178"/>
      <c r="D179" s="178"/>
      <c r="E179" s="178"/>
      <c r="F179" s="178"/>
      <c r="G179" s="178"/>
      <c r="H179" s="178"/>
    </row>
    <row r="180" spans="1:8" ht="12.75">
      <c r="A180" s="178"/>
      <c r="B180" s="178"/>
      <c r="C180" s="178"/>
      <c r="D180" s="178"/>
      <c r="E180" s="178"/>
      <c r="F180" s="178"/>
      <c r="G180" s="178"/>
      <c r="H180" s="178"/>
    </row>
    <row r="181" spans="1:8" ht="12.75">
      <c r="A181" s="178"/>
      <c r="B181" s="178"/>
      <c r="C181" s="178"/>
      <c r="D181" s="178"/>
      <c r="E181" s="178"/>
      <c r="F181" s="178"/>
      <c r="G181" s="178"/>
      <c r="H181" s="178"/>
    </row>
    <row r="182" spans="1:8" ht="12.75">
      <c r="A182" s="178"/>
      <c r="B182" s="178"/>
      <c r="C182" s="178"/>
      <c r="D182" s="178"/>
      <c r="E182" s="178"/>
      <c r="F182" s="178"/>
      <c r="G182" s="178"/>
      <c r="H182" s="178"/>
    </row>
    <row r="183" spans="1:8" ht="12.75">
      <c r="A183" s="178"/>
      <c r="B183" s="178"/>
      <c r="C183" s="178"/>
      <c r="D183" s="178"/>
      <c r="E183" s="178"/>
      <c r="F183" s="178"/>
      <c r="G183" s="178"/>
      <c r="H183" s="178"/>
    </row>
    <row r="184" spans="1:8" ht="12.75">
      <c r="A184" s="178"/>
      <c r="B184" s="178"/>
      <c r="C184" s="178"/>
      <c r="D184" s="178"/>
      <c r="E184" s="178"/>
      <c r="F184" s="178"/>
      <c r="G184" s="178"/>
      <c r="H184" s="178"/>
    </row>
    <row r="185" spans="1:8" ht="12.75">
      <c r="A185" s="178"/>
      <c r="B185" s="178"/>
      <c r="C185" s="178"/>
      <c r="D185" s="178"/>
      <c r="E185" s="178"/>
      <c r="F185" s="178"/>
      <c r="G185" s="178"/>
      <c r="H185" s="178"/>
    </row>
    <row r="186" spans="1:8" ht="12.75">
      <c r="A186" s="178"/>
      <c r="B186" s="178"/>
      <c r="C186" s="178"/>
      <c r="D186" s="178"/>
      <c r="E186" s="178"/>
      <c r="F186" s="178"/>
      <c r="G186" s="178"/>
      <c r="H186" s="178"/>
    </row>
    <row r="187" spans="1:8" ht="12.75">
      <c r="A187" s="178"/>
      <c r="B187" s="178"/>
      <c r="C187" s="178"/>
      <c r="D187" s="178"/>
      <c r="E187" s="178"/>
      <c r="F187" s="178"/>
      <c r="G187" s="178"/>
      <c r="H187" s="178"/>
    </row>
    <row r="188" spans="1:8" ht="12.75">
      <c r="A188" s="178"/>
      <c r="B188" s="178"/>
      <c r="C188" s="178"/>
      <c r="D188" s="178"/>
      <c r="E188" s="178"/>
      <c r="F188" s="178"/>
      <c r="G188" s="178"/>
      <c r="H188" s="178"/>
    </row>
    <row r="189" spans="1:8" ht="12.75">
      <c r="A189" s="178"/>
      <c r="B189" s="178"/>
      <c r="C189" s="178"/>
      <c r="D189" s="178"/>
      <c r="E189" s="178"/>
      <c r="F189" s="178"/>
      <c r="G189" s="178"/>
      <c r="H189" s="178"/>
    </row>
    <row r="190" spans="1:8" ht="12.75">
      <c r="A190" s="178"/>
      <c r="B190" s="178"/>
      <c r="C190" s="178"/>
      <c r="D190" s="178"/>
      <c r="E190" s="178"/>
      <c r="F190" s="178"/>
      <c r="G190" s="178"/>
      <c r="H190" s="178"/>
    </row>
    <row r="191" spans="1:8" ht="12.75">
      <c r="A191" s="178"/>
      <c r="B191" s="178"/>
      <c r="C191" s="178"/>
      <c r="D191" s="178"/>
      <c r="E191" s="178"/>
      <c r="F191" s="178"/>
      <c r="G191" s="178"/>
      <c r="H191" s="178"/>
    </row>
    <row r="192" spans="1:8" ht="12.75">
      <c r="A192" s="178"/>
      <c r="B192" s="178"/>
      <c r="C192" s="178"/>
      <c r="D192" s="178"/>
      <c r="E192" s="178"/>
      <c r="F192" s="178"/>
      <c r="G192" s="178"/>
      <c r="H192" s="178"/>
    </row>
    <row r="193" spans="1:8" ht="12.75">
      <c r="A193" s="178"/>
      <c r="B193" s="178"/>
      <c r="C193" s="178"/>
      <c r="D193" s="178"/>
      <c r="E193" s="178"/>
      <c r="F193" s="178"/>
      <c r="G193" s="178"/>
      <c r="H193" s="178"/>
    </row>
    <row r="194" spans="1:8" ht="12.75">
      <c r="A194" s="178"/>
      <c r="B194" s="178"/>
      <c r="C194" s="178"/>
      <c r="D194" s="178"/>
      <c r="E194" s="178"/>
      <c r="F194" s="178"/>
      <c r="G194" s="178"/>
      <c r="H194" s="178"/>
    </row>
    <row r="195" spans="1:8" ht="12.75">
      <c r="A195" s="178"/>
      <c r="B195" s="178"/>
      <c r="C195" s="178"/>
      <c r="D195" s="178"/>
      <c r="E195" s="178"/>
      <c r="F195" s="178"/>
      <c r="G195" s="178"/>
      <c r="H195" s="178"/>
    </row>
    <row r="196" spans="1:8" ht="12.75">
      <c r="A196" s="178"/>
      <c r="B196" s="178"/>
      <c r="C196" s="178"/>
      <c r="D196" s="178"/>
      <c r="E196" s="178"/>
      <c r="F196" s="178"/>
      <c r="G196" s="178"/>
      <c r="H196" s="178"/>
    </row>
    <row r="197" spans="1:8" ht="12.75">
      <c r="A197" s="178"/>
      <c r="B197" s="178"/>
      <c r="C197" s="178"/>
      <c r="D197" s="178"/>
      <c r="E197" s="178"/>
      <c r="F197" s="178"/>
      <c r="G197" s="178"/>
      <c r="H197" s="178"/>
    </row>
    <row r="198" spans="1:8" ht="12.75">
      <c r="A198" s="178"/>
      <c r="B198" s="178"/>
      <c r="C198" s="178"/>
      <c r="D198" s="178"/>
      <c r="E198" s="178"/>
      <c r="F198" s="178"/>
      <c r="G198" s="178"/>
      <c r="H198" s="178"/>
    </row>
    <row r="199" spans="1:8" ht="12.75">
      <c r="A199" s="178"/>
      <c r="B199" s="178"/>
      <c r="C199" s="178"/>
      <c r="D199" s="178"/>
      <c r="E199" s="178"/>
      <c r="F199" s="178"/>
      <c r="G199" s="178"/>
      <c r="H199" s="178"/>
    </row>
    <row r="200" spans="1:8" ht="12.75">
      <c r="A200" s="178"/>
      <c r="B200" s="178"/>
      <c r="C200" s="178"/>
      <c r="D200" s="178"/>
      <c r="E200" s="178"/>
      <c r="F200" s="178"/>
      <c r="G200" s="178"/>
      <c r="H200" s="178"/>
    </row>
    <row r="201" spans="1:8" ht="12.75">
      <c r="A201" s="178"/>
      <c r="B201" s="178"/>
      <c r="C201" s="178"/>
      <c r="D201" s="178"/>
      <c r="E201" s="178"/>
      <c r="F201" s="178"/>
      <c r="G201" s="178"/>
      <c r="H201" s="178"/>
    </row>
    <row r="202" spans="1:8" ht="12.75">
      <c r="A202" s="178"/>
      <c r="B202" s="178"/>
      <c r="C202" s="178"/>
      <c r="D202" s="178"/>
      <c r="E202" s="178"/>
      <c r="F202" s="178"/>
      <c r="G202" s="178"/>
      <c r="H202" s="178"/>
    </row>
    <row r="203" spans="1:8" ht="12.75">
      <c r="A203" s="178"/>
      <c r="B203" s="178"/>
      <c r="C203" s="178"/>
      <c r="D203" s="178"/>
      <c r="E203" s="178"/>
      <c r="F203" s="178"/>
      <c r="G203" s="178"/>
      <c r="H203" s="178"/>
    </row>
    <row r="204" spans="1:8" ht="12.75">
      <c r="A204" s="178"/>
      <c r="B204" s="178"/>
      <c r="C204" s="178"/>
      <c r="D204" s="178"/>
      <c r="E204" s="178"/>
      <c r="F204" s="178"/>
      <c r="G204" s="178"/>
      <c r="H204" s="178"/>
    </row>
    <row r="205" spans="1:8" ht="12.75">
      <c r="A205" s="178"/>
      <c r="B205" s="178"/>
      <c r="C205" s="178"/>
      <c r="D205" s="178"/>
      <c r="E205" s="178"/>
      <c r="F205" s="178"/>
      <c r="G205" s="178"/>
      <c r="H205" s="178"/>
    </row>
    <row r="206" spans="1:8" ht="12.75">
      <c r="A206" s="178"/>
      <c r="B206" s="178"/>
      <c r="C206" s="178"/>
      <c r="D206" s="178"/>
      <c r="E206" s="178"/>
      <c r="F206" s="178"/>
      <c r="G206" s="178"/>
      <c r="H206" s="178"/>
    </row>
    <row r="207" spans="1:8" ht="12.75">
      <c r="A207" s="178"/>
      <c r="B207" s="178"/>
      <c r="C207" s="178"/>
      <c r="D207" s="178"/>
      <c r="E207" s="178"/>
      <c r="F207" s="178"/>
      <c r="G207" s="178"/>
      <c r="H207" s="178"/>
    </row>
    <row r="208" spans="1:8" ht="12.75">
      <c r="A208" s="178"/>
      <c r="B208" s="178"/>
      <c r="C208" s="178"/>
      <c r="D208" s="178"/>
      <c r="E208" s="178"/>
      <c r="F208" s="178"/>
      <c r="G208" s="178"/>
      <c r="H208" s="178"/>
    </row>
    <row r="209" spans="1:8" ht="12.75">
      <c r="A209" s="178"/>
      <c r="B209" s="178"/>
      <c r="C209" s="178"/>
      <c r="D209" s="178"/>
      <c r="E209" s="178"/>
      <c r="F209" s="178"/>
      <c r="G209" s="178"/>
      <c r="H209" s="178"/>
    </row>
    <row r="210" spans="1:8" ht="12.75">
      <c r="A210" s="178"/>
      <c r="B210" s="178"/>
      <c r="C210" s="178"/>
      <c r="D210" s="178"/>
      <c r="E210" s="178"/>
      <c r="F210" s="178"/>
      <c r="G210" s="178"/>
      <c r="H210" s="178"/>
    </row>
    <row r="211" spans="1:8" ht="12.75">
      <c r="A211" s="178"/>
      <c r="B211" s="178"/>
      <c r="C211" s="178"/>
      <c r="D211" s="178"/>
      <c r="E211" s="178"/>
      <c r="F211" s="178"/>
      <c r="G211" s="178"/>
      <c r="H211" s="178"/>
    </row>
    <row r="212" spans="1:8" ht="12.75">
      <c r="A212" s="178"/>
      <c r="B212" s="178"/>
      <c r="C212" s="178"/>
      <c r="D212" s="178"/>
      <c r="E212" s="178"/>
      <c r="F212" s="178"/>
      <c r="G212" s="178"/>
      <c r="H212" s="178"/>
    </row>
    <row r="213" spans="1:8" ht="12.75">
      <c r="A213" s="178"/>
      <c r="B213" s="178"/>
      <c r="C213" s="178"/>
      <c r="D213" s="178"/>
      <c r="E213" s="178"/>
      <c r="F213" s="178"/>
      <c r="G213" s="178"/>
      <c r="H213" s="178"/>
    </row>
    <row r="214" spans="1:8" ht="12.75">
      <c r="A214" s="178"/>
      <c r="B214" s="178"/>
      <c r="C214" s="178"/>
      <c r="D214" s="178"/>
      <c r="E214" s="178"/>
      <c r="F214" s="178"/>
      <c r="G214" s="178"/>
      <c r="H214" s="178"/>
    </row>
    <row r="215" spans="1:8" ht="12.75">
      <c r="A215" s="178"/>
      <c r="B215" s="178"/>
      <c r="C215" s="178"/>
      <c r="D215" s="178"/>
      <c r="E215" s="178"/>
      <c r="F215" s="178"/>
      <c r="G215" s="178"/>
      <c r="H215" s="178"/>
    </row>
    <row r="216" spans="1:8" ht="12.75">
      <c r="A216" s="178"/>
      <c r="B216" s="178"/>
      <c r="C216" s="178"/>
      <c r="D216" s="178"/>
      <c r="E216" s="178"/>
      <c r="F216" s="178"/>
      <c r="G216" s="178"/>
      <c r="H216" s="178"/>
    </row>
    <row r="217" spans="1:8" ht="12.75">
      <c r="A217" s="178"/>
      <c r="B217" s="178"/>
      <c r="C217" s="178"/>
      <c r="D217" s="178"/>
      <c r="E217" s="178"/>
      <c r="F217" s="178"/>
      <c r="G217" s="178"/>
      <c r="H217" s="178"/>
    </row>
    <row r="218" spans="1:8" ht="12.75">
      <c r="A218" s="178"/>
      <c r="B218" s="178"/>
      <c r="C218" s="178"/>
      <c r="D218" s="178"/>
      <c r="E218" s="178"/>
      <c r="F218" s="178"/>
      <c r="G218" s="178"/>
      <c r="H218" s="178"/>
    </row>
    <row r="219" spans="1:8" ht="12.75">
      <c r="A219" s="178"/>
      <c r="B219" s="178"/>
      <c r="C219" s="178"/>
      <c r="D219" s="178"/>
      <c r="E219" s="178"/>
      <c r="F219" s="178"/>
      <c r="G219" s="178"/>
      <c r="H219" s="178"/>
    </row>
    <row r="220" spans="1:8" ht="12.75">
      <c r="A220" s="178"/>
      <c r="B220" s="178"/>
      <c r="C220" s="178"/>
      <c r="D220" s="178"/>
      <c r="E220" s="178"/>
      <c r="F220" s="178"/>
      <c r="G220" s="178"/>
      <c r="H220" s="178"/>
    </row>
    <row r="221" spans="1:8" ht="12.75">
      <c r="A221" s="178"/>
      <c r="B221" s="178"/>
      <c r="C221" s="178"/>
      <c r="D221" s="178"/>
      <c r="E221" s="178"/>
      <c r="F221" s="178"/>
      <c r="G221" s="178"/>
      <c r="H221" s="178"/>
    </row>
    <row r="222" spans="1:8" ht="12.75">
      <c r="A222" s="178"/>
      <c r="B222" s="178"/>
      <c r="C222" s="178"/>
      <c r="D222" s="178"/>
      <c r="E222" s="178"/>
      <c r="F222" s="178"/>
      <c r="G222" s="178"/>
      <c r="H222" s="178"/>
    </row>
    <row r="223" spans="1:8" ht="12.75">
      <c r="A223" s="178"/>
      <c r="B223" s="178"/>
      <c r="C223" s="178"/>
      <c r="D223" s="178"/>
      <c r="E223" s="178"/>
      <c r="F223" s="178"/>
      <c r="G223" s="178"/>
      <c r="H223" s="178"/>
    </row>
    <row r="224" spans="1:8" ht="12.75">
      <c r="A224" s="178"/>
      <c r="B224" s="178"/>
      <c r="C224" s="178"/>
      <c r="D224" s="178"/>
      <c r="E224" s="178"/>
      <c r="F224" s="178"/>
      <c r="G224" s="178"/>
      <c r="H224" s="178"/>
    </row>
    <row r="225" spans="1:8" ht="12.75">
      <c r="A225" s="178"/>
      <c r="B225" s="178"/>
      <c r="C225" s="178"/>
      <c r="D225" s="178"/>
      <c r="E225" s="178"/>
      <c r="F225" s="178"/>
      <c r="G225" s="178"/>
      <c r="H225" s="178"/>
    </row>
    <row r="226" spans="1:8" ht="12.75">
      <c r="A226" s="178"/>
      <c r="B226" s="178"/>
      <c r="C226" s="178"/>
      <c r="D226" s="178"/>
      <c r="E226" s="178"/>
      <c r="F226" s="178"/>
      <c r="G226" s="178"/>
      <c r="H226" s="178"/>
    </row>
    <row r="227" spans="1:8" ht="12.75">
      <c r="A227" s="178"/>
      <c r="B227" s="178"/>
      <c r="C227" s="178"/>
      <c r="D227" s="178"/>
      <c r="E227" s="178"/>
      <c r="F227" s="178"/>
      <c r="G227" s="178"/>
      <c r="H227" s="178"/>
    </row>
    <row r="228" spans="1:8" ht="12.75">
      <c r="A228" s="178"/>
      <c r="B228" s="178"/>
      <c r="C228" s="178"/>
      <c r="D228" s="178"/>
      <c r="E228" s="178"/>
      <c r="F228" s="178"/>
      <c r="G228" s="178"/>
      <c r="H228" s="178"/>
    </row>
    <row r="229" spans="1:8" ht="12.75">
      <c r="A229" s="178"/>
      <c r="B229" s="178"/>
      <c r="C229" s="178"/>
      <c r="D229" s="178"/>
      <c r="E229" s="178"/>
      <c r="F229" s="178"/>
      <c r="G229" s="178"/>
      <c r="H229" s="178"/>
    </row>
    <row r="230" spans="1:8" ht="12.75">
      <c r="A230" s="178"/>
      <c r="B230" s="178"/>
      <c r="C230" s="178"/>
      <c r="D230" s="178"/>
      <c r="E230" s="178"/>
      <c r="F230" s="178"/>
      <c r="G230" s="178"/>
      <c r="H230" s="178"/>
    </row>
    <row r="231" spans="1:8" ht="12.75">
      <c r="A231" s="178"/>
      <c r="B231" s="178"/>
      <c r="C231" s="178"/>
      <c r="D231" s="178"/>
      <c r="E231" s="178"/>
      <c r="F231" s="178"/>
      <c r="G231" s="178"/>
      <c r="H231" s="178"/>
    </row>
    <row r="232" spans="1:8" ht="12.75">
      <c r="A232" s="178"/>
      <c r="B232" s="178"/>
      <c r="C232" s="178"/>
      <c r="D232" s="178"/>
      <c r="E232" s="178"/>
      <c r="F232" s="178"/>
      <c r="G232" s="178"/>
      <c r="H232" s="178"/>
    </row>
    <row r="233" spans="1:8" ht="12.75">
      <c r="A233" s="178"/>
      <c r="B233" s="178"/>
      <c r="C233" s="178"/>
      <c r="D233" s="178"/>
      <c r="E233" s="178"/>
      <c r="F233" s="178"/>
      <c r="G233" s="178"/>
      <c r="H233" s="178"/>
    </row>
    <row r="234" spans="1:8" ht="12.75">
      <c r="A234" s="178"/>
      <c r="B234" s="178"/>
      <c r="C234" s="178"/>
      <c r="D234" s="178"/>
      <c r="E234" s="178"/>
      <c r="F234" s="178"/>
      <c r="G234" s="178"/>
      <c r="H234" s="178"/>
    </row>
    <row r="235" spans="1:8" ht="12.75">
      <c r="A235" s="178"/>
      <c r="B235" s="178"/>
      <c r="C235" s="178"/>
      <c r="D235" s="178"/>
      <c r="E235" s="178"/>
      <c r="F235" s="178"/>
      <c r="G235" s="178"/>
      <c r="H235" s="178"/>
    </row>
    <row r="236" spans="1:8" ht="12.75">
      <c r="A236" s="178"/>
      <c r="B236" s="178"/>
      <c r="C236" s="178"/>
      <c r="D236" s="178"/>
      <c r="E236" s="178"/>
      <c r="F236" s="178"/>
      <c r="G236" s="178"/>
      <c r="H236" s="178"/>
    </row>
    <row r="237" spans="1:8" ht="12.75">
      <c r="A237" s="178"/>
      <c r="B237" s="178"/>
      <c r="C237" s="178"/>
      <c r="D237" s="178"/>
      <c r="E237" s="178"/>
      <c r="F237" s="178"/>
      <c r="G237" s="178"/>
      <c r="H237" s="178"/>
    </row>
    <row r="238" spans="1:8" ht="12.75">
      <c r="A238" s="178"/>
      <c r="B238" s="178"/>
      <c r="C238" s="178"/>
      <c r="D238" s="178"/>
      <c r="E238" s="178"/>
      <c r="F238" s="178"/>
      <c r="G238" s="178"/>
      <c r="H238" s="178"/>
    </row>
    <row r="239" spans="1:8" ht="12.75">
      <c r="A239" s="178"/>
      <c r="B239" s="178"/>
      <c r="C239" s="178"/>
      <c r="D239" s="178"/>
      <c r="E239" s="178"/>
      <c r="F239" s="178"/>
      <c r="G239" s="178"/>
      <c r="H239" s="178"/>
    </row>
    <row r="240" spans="1:8" ht="12.75">
      <c r="A240" s="178"/>
      <c r="B240" s="178"/>
      <c r="C240" s="178"/>
      <c r="D240" s="178"/>
      <c r="E240" s="178"/>
      <c r="F240" s="178"/>
      <c r="G240" s="178"/>
      <c r="H240" s="178"/>
    </row>
    <row r="241" spans="1:8" ht="12.75">
      <c r="A241" s="178"/>
      <c r="B241" s="178"/>
      <c r="C241" s="178"/>
      <c r="D241" s="178"/>
      <c r="E241" s="178"/>
      <c r="F241" s="178"/>
      <c r="G241" s="178"/>
      <c r="H241" s="178"/>
    </row>
    <row r="242" spans="1:8" ht="12.75">
      <c r="A242" s="178"/>
      <c r="B242" s="178"/>
      <c r="C242" s="178"/>
      <c r="D242" s="178"/>
      <c r="E242" s="178"/>
      <c r="F242" s="178"/>
      <c r="G242" s="178"/>
      <c r="H242" s="178"/>
    </row>
    <row r="243" spans="1:8" ht="12.75">
      <c r="A243" s="178"/>
      <c r="B243" s="178"/>
      <c r="C243" s="178"/>
      <c r="D243" s="178"/>
      <c r="E243" s="178"/>
      <c r="F243" s="178"/>
      <c r="G243" s="178"/>
      <c r="H243" s="178"/>
    </row>
    <row r="244" spans="1:8" ht="12.75">
      <c r="A244" s="178"/>
      <c r="B244" s="178"/>
      <c r="C244" s="178"/>
      <c r="D244" s="178"/>
      <c r="E244" s="178"/>
      <c r="F244" s="178"/>
      <c r="G244" s="178"/>
      <c r="H244" s="178"/>
    </row>
    <row r="245" spans="1:8" ht="12.75">
      <c r="A245" s="178"/>
      <c r="B245" s="178"/>
      <c r="C245" s="178"/>
      <c r="D245" s="178"/>
      <c r="E245" s="178"/>
      <c r="F245" s="178"/>
      <c r="G245" s="178"/>
      <c r="H245" s="178"/>
    </row>
    <row r="246" spans="1:8" ht="12.75">
      <c r="A246" s="178"/>
      <c r="B246" s="178"/>
      <c r="C246" s="178"/>
      <c r="D246" s="178"/>
      <c r="E246" s="178"/>
      <c r="F246" s="178"/>
      <c r="G246" s="178"/>
      <c r="H246" s="178"/>
    </row>
    <row r="247" spans="1:8" ht="12.75">
      <c r="A247" s="178"/>
      <c r="B247" s="178"/>
      <c r="C247" s="178"/>
      <c r="D247" s="178"/>
      <c r="E247" s="178"/>
      <c r="F247" s="178"/>
      <c r="G247" s="178"/>
      <c r="H247" s="178"/>
    </row>
    <row r="248" spans="1:8" ht="12.75">
      <c r="A248" s="178"/>
      <c r="B248" s="178"/>
      <c r="C248" s="178"/>
      <c r="D248" s="178"/>
      <c r="E248" s="178"/>
      <c r="F248" s="178"/>
      <c r="G248" s="178"/>
      <c r="H248" s="178"/>
    </row>
    <row r="249" spans="1:8" ht="12.75">
      <c r="A249" s="178"/>
      <c r="B249" s="178"/>
      <c r="C249" s="178"/>
      <c r="D249" s="178"/>
      <c r="E249" s="178"/>
      <c r="F249" s="178"/>
      <c r="G249" s="178"/>
      <c r="H249" s="178"/>
    </row>
    <row r="250" spans="1:8" ht="12.75">
      <c r="A250" s="178"/>
      <c r="B250" s="178"/>
      <c r="C250" s="178"/>
      <c r="D250" s="178"/>
      <c r="E250" s="178"/>
      <c r="F250" s="178"/>
      <c r="G250" s="178"/>
      <c r="H250" s="178"/>
    </row>
    <row r="251" spans="1:8" ht="12.75">
      <c r="A251" s="178"/>
      <c r="B251" s="178"/>
      <c r="C251" s="178"/>
      <c r="D251" s="178"/>
      <c r="E251" s="178"/>
      <c r="F251" s="178"/>
      <c r="G251" s="178"/>
      <c r="H251" s="178"/>
    </row>
    <row r="252" spans="1:8" ht="12.75">
      <c r="A252" s="178"/>
      <c r="B252" s="178"/>
      <c r="C252" s="178"/>
      <c r="D252" s="178"/>
      <c r="E252" s="178"/>
      <c r="F252" s="178"/>
      <c r="G252" s="178"/>
      <c r="H252" s="178"/>
    </row>
    <row r="253" spans="1:8" ht="12.75">
      <c r="A253" s="178"/>
      <c r="B253" s="178"/>
      <c r="C253" s="178"/>
      <c r="D253" s="178"/>
      <c r="E253" s="178"/>
      <c r="F253" s="178"/>
      <c r="G253" s="178"/>
      <c r="H253" s="178"/>
    </row>
    <row r="254" spans="1:8" ht="12.75">
      <c r="A254" s="178"/>
      <c r="B254" s="178"/>
      <c r="C254" s="178"/>
      <c r="D254" s="178"/>
      <c r="E254" s="178"/>
      <c r="F254" s="178"/>
      <c r="G254" s="178"/>
      <c r="H254" s="178"/>
    </row>
    <row r="255" spans="1:8" ht="12.75">
      <c r="A255" s="178"/>
      <c r="B255" s="178"/>
      <c r="C255" s="178"/>
      <c r="D255" s="178"/>
      <c r="E255" s="178"/>
      <c r="F255" s="178"/>
      <c r="G255" s="178"/>
      <c r="H255" s="178"/>
    </row>
    <row r="256" spans="1:8" ht="12.75">
      <c r="A256" s="178"/>
      <c r="B256" s="178"/>
      <c r="C256" s="178"/>
      <c r="D256" s="178"/>
      <c r="E256" s="178"/>
      <c r="F256" s="178"/>
      <c r="G256" s="178"/>
      <c r="H256" s="178"/>
    </row>
    <row r="257" spans="1:8" ht="12.75">
      <c r="A257" s="178"/>
      <c r="B257" s="178"/>
      <c r="C257" s="178"/>
      <c r="D257" s="178"/>
      <c r="E257" s="178"/>
      <c r="F257" s="178"/>
      <c r="G257" s="178"/>
      <c r="H257" s="178"/>
    </row>
    <row r="258" spans="1:8" ht="12.75">
      <c r="A258" s="178"/>
      <c r="B258" s="178"/>
      <c r="C258" s="178"/>
      <c r="D258" s="178"/>
      <c r="E258" s="178"/>
      <c r="F258" s="178"/>
      <c r="G258" s="178"/>
      <c r="H258" s="178"/>
    </row>
    <row r="259" spans="1:8" ht="12.75">
      <c r="A259" s="178"/>
      <c r="B259" s="178"/>
      <c r="C259" s="178"/>
      <c r="D259" s="178"/>
      <c r="E259" s="178"/>
      <c r="F259" s="178"/>
      <c r="G259" s="178"/>
      <c r="H259" s="178"/>
    </row>
    <row r="260" spans="1:8" ht="12.75">
      <c r="A260" s="178"/>
      <c r="B260" s="178"/>
      <c r="C260" s="178"/>
      <c r="D260" s="178"/>
      <c r="E260" s="178"/>
      <c r="F260" s="178"/>
      <c r="G260" s="178"/>
      <c r="H260" s="178"/>
    </row>
    <row r="261" spans="1:8" ht="12.75">
      <c r="A261" s="178"/>
      <c r="B261" s="178"/>
      <c r="C261" s="178"/>
      <c r="D261" s="178"/>
      <c r="E261" s="178"/>
      <c r="F261" s="178"/>
      <c r="G261" s="178"/>
      <c r="H261" s="178"/>
    </row>
    <row r="262" spans="1:8" ht="12.75">
      <c r="A262" s="178"/>
      <c r="B262" s="178"/>
      <c r="C262" s="178"/>
      <c r="D262" s="178"/>
      <c r="E262" s="178"/>
      <c r="F262" s="178"/>
      <c r="G262" s="178"/>
      <c r="H262" s="178"/>
    </row>
    <row r="263" spans="1:8" ht="12.75">
      <c r="A263" s="178"/>
      <c r="B263" s="178"/>
      <c r="C263" s="178"/>
      <c r="D263" s="178"/>
      <c r="E263" s="178"/>
      <c r="F263" s="178"/>
      <c r="G263" s="178"/>
      <c r="H263" s="178"/>
    </row>
    <row r="264" spans="1:8" ht="12.75">
      <c r="A264" s="178"/>
      <c r="B264" s="178"/>
      <c r="C264" s="178"/>
      <c r="D264" s="178"/>
      <c r="E264" s="178"/>
      <c r="F264" s="178"/>
      <c r="G264" s="178"/>
      <c r="H264" s="178"/>
    </row>
    <row r="265" spans="1:8" ht="12.75">
      <c r="A265" s="178"/>
      <c r="B265" s="178"/>
      <c r="C265" s="178"/>
      <c r="D265" s="178"/>
      <c r="E265" s="178"/>
      <c r="F265" s="178"/>
      <c r="G265" s="178"/>
      <c r="H265" s="178"/>
    </row>
    <row r="266" spans="1:8" ht="12.75">
      <c r="A266" s="178"/>
      <c r="B266" s="178"/>
      <c r="C266" s="178"/>
      <c r="D266" s="178"/>
      <c r="E266" s="178"/>
      <c r="F266" s="178"/>
      <c r="G266" s="178"/>
      <c r="H266" s="178"/>
    </row>
    <row r="267" spans="1:8" ht="12.75">
      <c r="A267" s="178"/>
      <c r="B267" s="178"/>
      <c r="C267" s="178"/>
      <c r="D267" s="178"/>
      <c r="E267" s="178"/>
      <c r="F267" s="178"/>
      <c r="G267" s="178"/>
      <c r="H267" s="178"/>
    </row>
    <row r="268" spans="1:8" ht="12.75">
      <c r="A268" s="178"/>
      <c r="B268" s="178"/>
      <c r="C268" s="178"/>
      <c r="D268" s="178"/>
      <c r="E268" s="178"/>
      <c r="F268" s="178"/>
      <c r="G268" s="178"/>
      <c r="H268" s="178"/>
    </row>
    <row r="269" spans="1:8" ht="12.75">
      <c r="A269" s="178"/>
      <c r="B269" s="178"/>
      <c r="C269" s="178"/>
      <c r="D269" s="178"/>
      <c r="E269" s="178"/>
      <c r="F269" s="178"/>
      <c r="G269" s="178"/>
      <c r="H269" s="178"/>
    </row>
    <row r="270" spans="1:8" ht="12.75">
      <c r="A270" s="178"/>
      <c r="B270" s="178"/>
      <c r="C270" s="178"/>
      <c r="D270" s="178"/>
      <c r="E270" s="178"/>
      <c r="F270" s="178"/>
      <c r="G270" s="178"/>
      <c r="H270" s="178"/>
    </row>
    <row r="271" spans="1:8" ht="12.75">
      <c r="A271" s="178"/>
      <c r="B271" s="178"/>
      <c r="C271" s="178"/>
      <c r="D271" s="178"/>
      <c r="E271" s="178"/>
      <c r="F271" s="178"/>
      <c r="G271" s="178"/>
      <c r="H271" s="178"/>
    </row>
    <row r="272" spans="1:8" ht="12.75">
      <c r="A272" s="178"/>
      <c r="B272" s="178"/>
      <c r="C272" s="178"/>
      <c r="D272" s="178"/>
      <c r="E272" s="178"/>
      <c r="F272" s="178"/>
      <c r="G272" s="178"/>
      <c r="H272" s="178"/>
    </row>
    <row r="273" spans="1:8" ht="12.75">
      <c r="A273" s="178"/>
      <c r="B273" s="178"/>
      <c r="C273" s="178"/>
      <c r="D273" s="178"/>
      <c r="E273" s="178"/>
      <c r="F273" s="178"/>
      <c r="G273" s="178"/>
      <c r="H273" s="178"/>
    </row>
    <row r="274" spans="1:8" ht="12.75">
      <c r="A274" s="178"/>
      <c r="B274" s="178"/>
      <c r="C274" s="178"/>
      <c r="D274" s="178"/>
      <c r="E274" s="178"/>
      <c r="F274" s="178"/>
      <c r="G274" s="178"/>
      <c r="H274" s="178"/>
    </row>
    <row r="275" spans="1:8" ht="12.75">
      <c r="A275" s="178"/>
      <c r="B275" s="178"/>
      <c r="C275" s="178"/>
      <c r="D275" s="178"/>
      <c r="E275" s="178"/>
      <c r="F275" s="178"/>
      <c r="G275" s="178"/>
      <c r="H275" s="178"/>
    </row>
    <row r="276" spans="1:8" ht="12.75">
      <c r="A276" s="178"/>
      <c r="B276" s="178"/>
      <c r="C276" s="178"/>
      <c r="D276" s="178"/>
      <c r="E276" s="178"/>
      <c r="F276" s="178"/>
      <c r="G276" s="178"/>
      <c r="H276" s="178"/>
    </row>
    <row r="277" spans="1:8" ht="12.75">
      <c r="A277" s="178"/>
      <c r="B277" s="178"/>
      <c r="C277" s="178"/>
      <c r="D277" s="178"/>
      <c r="E277" s="178"/>
      <c r="F277" s="178"/>
      <c r="G277" s="178"/>
      <c r="H277" s="178"/>
    </row>
    <row r="278" spans="1:8" ht="12.75">
      <c r="A278" s="178"/>
      <c r="B278" s="178"/>
      <c r="C278" s="178"/>
      <c r="D278" s="178"/>
      <c r="E278" s="178"/>
      <c r="F278" s="178"/>
      <c r="G278" s="178"/>
      <c r="H278" s="178"/>
    </row>
    <row r="279" spans="1:8" ht="12.75">
      <c r="A279" s="178"/>
      <c r="B279" s="178"/>
      <c r="C279" s="178"/>
      <c r="D279" s="178"/>
      <c r="E279" s="178"/>
      <c r="F279" s="178"/>
      <c r="G279" s="178"/>
      <c r="H279" s="178"/>
    </row>
    <row r="280" spans="1:8" ht="12.75">
      <c r="A280" s="178"/>
      <c r="B280" s="178"/>
      <c r="C280" s="178"/>
      <c r="D280" s="178"/>
      <c r="E280" s="178"/>
      <c r="F280" s="178"/>
      <c r="G280" s="178"/>
      <c r="H280" s="178"/>
    </row>
    <row r="281" spans="1:8" ht="12.75">
      <c r="A281" s="178"/>
      <c r="B281" s="178"/>
      <c r="C281" s="178"/>
      <c r="D281" s="178"/>
      <c r="E281" s="178"/>
      <c r="F281" s="178"/>
      <c r="G281" s="178"/>
      <c r="H281" s="178"/>
    </row>
    <row r="282" spans="1:8" ht="12.75">
      <c r="A282" s="178"/>
      <c r="B282" s="178"/>
      <c r="C282" s="178"/>
      <c r="D282" s="178"/>
      <c r="E282" s="178"/>
      <c r="F282" s="178"/>
      <c r="G282" s="178"/>
      <c r="H282" s="178"/>
    </row>
    <row r="283" spans="1:8" ht="12.75">
      <c r="A283" s="178"/>
      <c r="B283" s="178"/>
      <c r="C283" s="178"/>
      <c r="D283" s="178"/>
      <c r="E283" s="178"/>
      <c r="F283" s="178"/>
      <c r="G283" s="178"/>
      <c r="H283" s="178"/>
    </row>
    <row r="284" spans="1:8" ht="12.75">
      <c r="A284" s="178"/>
      <c r="B284" s="178"/>
      <c r="C284" s="178"/>
      <c r="D284" s="178"/>
      <c r="E284" s="178"/>
      <c r="F284" s="178"/>
      <c r="G284" s="178"/>
      <c r="H284" s="178"/>
    </row>
    <row r="285" spans="1:8" ht="12.75">
      <c r="A285" s="178"/>
      <c r="B285" s="178"/>
      <c r="C285" s="178"/>
      <c r="D285" s="178"/>
      <c r="E285" s="178"/>
      <c r="F285" s="178"/>
      <c r="G285" s="178"/>
      <c r="H285" s="178"/>
    </row>
    <row r="286" spans="1:8" ht="12.75">
      <c r="A286" s="178"/>
      <c r="B286" s="178"/>
      <c r="C286" s="178"/>
      <c r="D286" s="178"/>
      <c r="E286" s="178"/>
      <c r="F286" s="178"/>
      <c r="G286" s="178"/>
      <c r="H286" s="178"/>
    </row>
    <row r="287" spans="1:8" ht="12.75">
      <c r="A287" s="178"/>
      <c r="B287" s="178"/>
      <c r="C287" s="178"/>
      <c r="D287" s="178"/>
      <c r="E287" s="178"/>
      <c r="F287" s="178"/>
      <c r="G287" s="178"/>
      <c r="H287" s="178"/>
    </row>
    <row r="288" spans="1:8" ht="12.75">
      <c r="A288" s="178"/>
      <c r="B288" s="178"/>
      <c r="C288" s="178"/>
      <c r="D288" s="178"/>
      <c r="E288" s="178"/>
      <c r="F288" s="178"/>
      <c r="G288" s="178"/>
      <c r="H288" s="178"/>
    </row>
    <row r="289" spans="1:8" ht="12.75">
      <c r="A289" s="178"/>
      <c r="B289" s="178"/>
      <c r="C289" s="178"/>
      <c r="D289" s="178"/>
      <c r="E289" s="178"/>
      <c r="F289" s="178"/>
      <c r="G289" s="178"/>
      <c r="H289" s="178"/>
    </row>
    <row r="290" spans="1:8" ht="12.75">
      <c r="A290" s="178"/>
      <c r="B290" s="178"/>
      <c r="C290" s="178"/>
      <c r="D290" s="178"/>
      <c r="E290" s="178"/>
      <c r="F290" s="178"/>
      <c r="G290" s="178"/>
      <c r="H290" s="178"/>
    </row>
    <row r="291" spans="1:8" ht="12.75">
      <c r="A291" s="178"/>
      <c r="B291" s="178"/>
      <c r="C291" s="178"/>
      <c r="D291" s="178"/>
      <c r="E291" s="178"/>
      <c r="F291" s="178"/>
      <c r="G291" s="178"/>
      <c r="H291" s="178"/>
    </row>
    <row r="292" spans="1:8" ht="12.75">
      <c r="A292" s="178"/>
      <c r="B292" s="178"/>
      <c r="C292" s="178"/>
      <c r="D292" s="178"/>
      <c r="E292" s="178"/>
      <c r="F292" s="178"/>
      <c r="G292" s="178"/>
      <c r="H292" s="178"/>
    </row>
    <row r="293" spans="1:8" ht="12.75">
      <c r="A293" s="178"/>
      <c r="B293" s="178"/>
      <c r="C293" s="178"/>
      <c r="D293" s="178"/>
      <c r="E293" s="178"/>
      <c r="F293" s="178"/>
      <c r="G293" s="178"/>
      <c r="H293" s="178"/>
    </row>
    <row r="294" spans="1:8" ht="12.75">
      <c r="A294" s="178"/>
      <c r="B294" s="178"/>
      <c r="C294" s="178"/>
      <c r="D294" s="178"/>
      <c r="E294" s="178"/>
      <c r="F294" s="178"/>
      <c r="G294" s="178"/>
      <c r="H294" s="178"/>
    </row>
    <row r="295" spans="1:8" ht="12.75">
      <c r="A295" s="178"/>
      <c r="B295" s="178"/>
      <c r="C295" s="178"/>
      <c r="D295" s="178"/>
      <c r="E295" s="178"/>
      <c r="F295" s="178"/>
      <c r="G295" s="178"/>
      <c r="H295" s="178"/>
    </row>
    <row r="296" spans="1:8" ht="12.75">
      <c r="A296" s="178"/>
      <c r="B296" s="178"/>
      <c r="C296" s="178"/>
      <c r="D296" s="178"/>
      <c r="E296" s="178"/>
      <c r="F296" s="178"/>
      <c r="G296" s="178"/>
      <c r="H296" s="178"/>
    </row>
    <row r="297" spans="1:8" ht="12.75">
      <c r="A297" s="178"/>
      <c r="B297" s="178"/>
      <c r="C297" s="178"/>
      <c r="D297" s="178"/>
      <c r="E297" s="178"/>
      <c r="F297" s="178"/>
      <c r="G297" s="178"/>
      <c r="H297" s="178"/>
    </row>
    <row r="298" spans="1:8" ht="12.75">
      <c r="A298" s="178"/>
      <c r="B298" s="178"/>
      <c r="C298" s="178"/>
      <c r="D298" s="178"/>
      <c r="E298" s="178"/>
      <c r="F298" s="178"/>
      <c r="G298" s="178"/>
      <c r="H298" s="178"/>
    </row>
    <row r="299" spans="1:8" ht="12.75">
      <c r="A299" s="178"/>
      <c r="B299" s="178"/>
      <c r="C299" s="178"/>
      <c r="D299" s="178"/>
      <c r="E299" s="178"/>
      <c r="F299" s="178"/>
      <c r="G299" s="178"/>
      <c r="H299" s="178"/>
    </row>
    <row r="300" spans="1:8" ht="12.75">
      <c r="A300" s="178"/>
      <c r="B300" s="178"/>
      <c r="C300" s="178"/>
      <c r="D300" s="178"/>
      <c r="E300" s="178"/>
      <c r="F300" s="178"/>
      <c r="G300" s="178"/>
      <c r="H300" s="178"/>
    </row>
    <row r="301" spans="1:8" ht="12.75">
      <c r="A301" s="178"/>
      <c r="B301" s="178"/>
      <c r="C301" s="178"/>
      <c r="D301" s="178"/>
      <c r="E301" s="178"/>
      <c r="F301" s="178"/>
      <c r="G301" s="178"/>
      <c r="H301" s="178"/>
    </row>
    <row r="302" spans="1:8" ht="12.75">
      <c r="A302" s="178"/>
      <c r="B302" s="178"/>
      <c r="C302" s="178"/>
      <c r="D302" s="178"/>
      <c r="E302" s="178"/>
      <c r="F302" s="178"/>
      <c r="G302" s="178"/>
      <c r="H302" s="178"/>
    </row>
    <row r="303" spans="1:8" ht="12.75">
      <c r="A303" s="178"/>
      <c r="B303" s="178"/>
      <c r="C303" s="178"/>
      <c r="D303" s="178"/>
      <c r="E303" s="178"/>
      <c r="F303" s="178"/>
      <c r="G303" s="178"/>
      <c r="H303" s="178"/>
    </row>
    <row r="304" spans="1:8" ht="12.75">
      <c r="A304" s="178"/>
      <c r="B304" s="178"/>
      <c r="C304" s="178"/>
      <c r="D304" s="178"/>
      <c r="E304" s="178"/>
      <c r="F304" s="178"/>
      <c r="G304" s="178"/>
      <c r="H304" s="178"/>
    </row>
    <row r="305" spans="1:8" ht="12.75">
      <c r="A305" s="178"/>
      <c r="B305" s="178"/>
      <c r="C305" s="178"/>
      <c r="D305" s="178"/>
      <c r="E305" s="178"/>
      <c r="F305" s="178"/>
      <c r="G305" s="178"/>
      <c r="H305" s="178"/>
    </row>
    <row r="306" spans="1:8" ht="12.75">
      <c r="A306" s="178"/>
      <c r="B306" s="178"/>
      <c r="C306" s="178"/>
      <c r="D306" s="178"/>
      <c r="E306" s="178"/>
      <c r="F306" s="178"/>
      <c r="G306" s="178"/>
      <c r="H306" s="178"/>
    </row>
    <row r="307" spans="1:8" ht="12.75">
      <c r="A307" s="178"/>
      <c r="B307" s="178"/>
      <c r="C307" s="178"/>
      <c r="D307" s="178"/>
      <c r="E307" s="178"/>
      <c r="F307" s="178"/>
      <c r="G307" s="178"/>
      <c r="H307" s="178"/>
    </row>
    <row r="308" spans="1:8" ht="12.75">
      <c r="A308" s="178"/>
      <c r="B308" s="178"/>
      <c r="C308" s="178"/>
      <c r="D308" s="178"/>
      <c r="E308" s="178"/>
      <c r="F308" s="178"/>
      <c r="G308" s="178"/>
      <c r="H308" s="178"/>
    </row>
    <row r="309" spans="1:8" ht="12.75">
      <c r="A309" s="178"/>
      <c r="B309" s="178"/>
      <c r="C309" s="178"/>
      <c r="D309" s="178"/>
      <c r="E309" s="178"/>
      <c r="F309" s="178"/>
      <c r="G309" s="178"/>
      <c r="H309" s="178"/>
    </row>
    <row r="310" spans="1:8" ht="12.75">
      <c r="A310" s="178"/>
      <c r="B310" s="178"/>
      <c r="C310" s="178"/>
      <c r="D310" s="178"/>
      <c r="E310" s="178"/>
      <c r="F310" s="178"/>
      <c r="G310" s="178"/>
      <c r="H310" s="178"/>
    </row>
    <row r="311" spans="1:8" ht="12.75">
      <c r="A311" s="178"/>
      <c r="B311" s="178"/>
      <c r="C311" s="178"/>
      <c r="D311" s="178"/>
      <c r="E311" s="178"/>
      <c r="F311" s="178"/>
      <c r="G311" s="178"/>
      <c r="H311" s="178"/>
    </row>
    <row r="312" spans="1:8" ht="12.75">
      <c r="A312" s="178"/>
      <c r="B312" s="178"/>
      <c r="C312" s="178"/>
      <c r="D312" s="178"/>
      <c r="E312" s="178"/>
      <c r="F312" s="178"/>
      <c r="G312" s="178"/>
      <c r="H312" s="178"/>
    </row>
    <row r="313" spans="1:8" ht="12.75">
      <c r="A313" s="178"/>
      <c r="B313" s="178"/>
      <c r="C313" s="178"/>
      <c r="D313" s="178"/>
      <c r="E313" s="178"/>
      <c r="F313" s="178"/>
      <c r="G313" s="178"/>
      <c r="H313" s="178"/>
    </row>
    <row r="314" spans="1:8" ht="12.75">
      <c r="A314" s="178"/>
      <c r="B314" s="178"/>
      <c r="C314" s="178"/>
      <c r="D314" s="178"/>
      <c r="E314" s="178"/>
      <c r="F314" s="178"/>
      <c r="G314" s="178"/>
      <c r="H314" s="178"/>
    </row>
    <row r="315" spans="1:8" ht="12.75">
      <c r="A315" s="178"/>
      <c r="B315" s="178"/>
      <c r="C315" s="178"/>
      <c r="D315" s="178"/>
      <c r="E315" s="178"/>
      <c r="F315" s="178"/>
      <c r="G315" s="178"/>
      <c r="H315" s="178"/>
    </row>
    <row r="316" spans="1:8" ht="12.75">
      <c r="A316" s="178"/>
      <c r="B316" s="178"/>
      <c r="C316" s="178"/>
      <c r="D316" s="178"/>
      <c r="E316" s="178"/>
      <c r="F316" s="178"/>
      <c r="G316" s="178"/>
      <c r="H316" s="178"/>
    </row>
    <row r="317" spans="1:8" ht="12.75">
      <c r="A317" s="178"/>
      <c r="B317" s="178"/>
      <c r="C317" s="178"/>
      <c r="D317" s="178"/>
      <c r="E317" s="178"/>
      <c r="F317" s="178"/>
      <c r="G317" s="178"/>
      <c r="H317" s="178"/>
    </row>
    <row r="318" spans="1:8" ht="12.75">
      <c r="A318" s="178"/>
      <c r="B318" s="178"/>
      <c r="C318" s="178"/>
      <c r="D318" s="178"/>
      <c r="E318" s="178"/>
      <c r="F318" s="178"/>
      <c r="G318" s="178"/>
      <c r="H318" s="178"/>
    </row>
    <row r="319" spans="1:8" ht="12.75">
      <c r="A319" s="178"/>
      <c r="B319" s="178"/>
      <c r="C319" s="178"/>
      <c r="D319" s="178"/>
      <c r="E319" s="178"/>
      <c r="F319" s="178"/>
      <c r="G319" s="178"/>
      <c r="H319" s="178"/>
    </row>
    <row r="320" spans="1:8" ht="12.75">
      <c r="A320" s="178"/>
      <c r="B320" s="178"/>
      <c r="C320" s="178"/>
      <c r="D320" s="178"/>
      <c r="E320" s="178"/>
      <c r="F320" s="178"/>
      <c r="G320" s="178"/>
      <c r="H320" s="178"/>
    </row>
    <row r="321" spans="1:8" ht="12.75">
      <c r="A321" s="178"/>
      <c r="B321" s="178"/>
      <c r="C321" s="178"/>
      <c r="D321" s="178"/>
      <c r="E321" s="178"/>
      <c r="F321" s="178"/>
      <c r="G321" s="178"/>
      <c r="H321" s="178"/>
    </row>
    <row r="322" spans="1:8" ht="12.75">
      <c r="A322" s="178"/>
      <c r="B322" s="178"/>
      <c r="C322" s="178"/>
      <c r="D322" s="178"/>
      <c r="E322" s="178"/>
      <c r="F322" s="178"/>
      <c r="G322" s="178"/>
      <c r="H322" s="178"/>
    </row>
    <row r="323" spans="1:8" ht="12.75">
      <c r="A323" s="178"/>
      <c r="B323" s="178"/>
      <c r="C323" s="178"/>
      <c r="D323" s="178"/>
      <c r="E323" s="178"/>
      <c r="F323" s="178"/>
      <c r="G323" s="178"/>
      <c r="H323" s="178"/>
    </row>
    <row r="324" spans="1:8" ht="12.75">
      <c r="A324" s="178"/>
      <c r="B324" s="178"/>
      <c r="C324" s="178"/>
      <c r="D324" s="178"/>
      <c r="E324" s="178"/>
      <c r="F324" s="178"/>
      <c r="G324" s="178"/>
      <c r="H324" s="178"/>
    </row>
    <row r="325" spans="1:8" ht="12.75">
      <c r="A325" s="178"/>
      <c r="B325" s="178"/>
      <c r="C325" s="178"/>
      <c r="D325" s="178"/>
      <c r="E325" s="178"/>
      <c r="F325" s="178"/>
      <c r="G325" s="178"/>
      <c r="H325" s="178"/>
    </row>
    <row r="326" spans="1:8" ht="12.75">
      <c r="A326" s="178"/>
      <c r="B326" s="178"/>
      <c r="C326" s="178"/>
      <c r="D326" s="178"/>
      <c r="E326" s="178"/>
      <c r="F326" s="178"/>
      <c r="G326" s="178"/>
      <c r="H326" s="178"/>
    </row>
    <row r="327" spans="1:8" ht="12.75">
      <c r="A327" s="178"/>
      <c r="B327" s="178"/>
      <c r="C327" s="178"/>
      <c r="D327" s="178"/>
      <c r="E327" s="178"/>
      <c r="F327" s="178"/>
      <c r="G327" s="178"/>
      <c r="H327" s="178"/>
    </row>
    <row r="328" spans="1:8" ht="12.75">
      <c r="A328" s="178"/>
      <c r="B328" s="178"/>
      <c r="C328" s="178"/>
      <c r="D328" s="178"/>
      <c r="E328" s="178"/>
      <c r="F328" s="178"/>
      <c r="G328" s="178"/>
      <c r="H328" s="178"/>
    </row>
    <row r="329" spans="1:8" ht="12.75">
      <c r="A329" s="178"/>
      <c r="B329" s="178"/>
      <c r="C329" s="178"/>
      <c r="D329" s="178"/>
      <c r="E329" s="178"/>
      <c r="F329" s="178"/>
      <c r="G329" s="178"/>
      <c r="H329" s="178"/>
    </row>
    <row r="330" spans="1:8" ht="12.75">
      <c r="A330" s="178"/>
      <c r="B330" s="178"/>
      <c r="C330" s="178"/>
      <c r="D330" s="178"/>
      <c r="E330" s="178"/>
      <c r="F330" s="178"/>
      <c r="G330" s="178"/>
      <c r="H330" s="178"/>
    </row>
    <row r="331" spans="1:8" ht="12.75">
      <c r="A331" s="178"/>
      <c r="B331" s="178"/>
      <c r="C331" s="178"/>
      <c r="D331" s="178"/>
      <c r="E331" s="178"/>
      <c r="F331" s="178"/>
      <c r="G331" s="178"/>
      <c r="H331" s="178"/>
    </row>
    <row r="332" spans="1:8" ht="12.75">
      <c r="A332" s="178"/>
      <c r="B332" s="178"/>
      <c r="C332" s="178"/>
      <c r="D332" s="178"/>
      <c r="E332" s="178"/>
      <c r="F332" s="178"/>
      <c r="G332" s="178"/>
      <c r="H332" s="178"/>
    </row>
    <row r="333" spans="1:8" ht="12.75">
      <c r="A333" s="178"/>
      <c r="B333" s="178"/>
      <c r="C333" s="178"/>
      <c r="D333" s="178"/>
      <c r="E333" s="178"/>
      <c r="F333" s="178"/>
      <c r="G333" s="178"/>
      <c r="H333" s="178"/>
    </row>
    <row r="334" spans="1:8" ht="12.75">
      <c r="A334" s="178"/>
      <c r="B334" s="178"/>
      <c r="C334" s="178"/>
      <c r="D334" s="178"/>
      <c r="E334" s="178"/>
      <c r="F334" s="178"/>
      <c r="G334" s="178"/>
      <c r="H334" s="178"/>
    </row>
    <row r="335" spans="1:8" ht="12.75">
      <c r="A335" s="178"/>
      <c r="B335" s="178"/>
      <c r="C335" s="178"/>
      <c r="D335" s="178"/>
      <c r="E335" s="178"/>
      <c r="F335" s="178"/>
      <c r="G335" s="178"/>
      <c r="H335" s="178"/>
    </row>
    <row r="336" spans="1:8" ht="12.75">
      <c r="A336" s="178"/>
      <c r="B336" s="178"/>
      <c r="C336" s="178"/>
      <c r="D336" s="178"/>
      <c r="E336" s="178"/>
      <c r="F336" s="178"/>
      <c r="G336" s="178"/>
      <c r="H336" s="178"/>
    </row>
    <row r="337" spans="1:8" ht="12.75">
      <c r="A337" s="178"/>
      <c r="B337" s="178"/>
      <c r="C337" s="178"/>
      <c r="D337" s="178"/>
      <c r="E337" s="178"/>
      <c r="F337" s="178"/>
      <c r="G337" s="178"/>
      <c r="H337" s="178"/>
    </row>
    <row r="338" spans="1:8" ht="12.75">
      <c r="A338" s="178"/>
      <c r="B338" s="178"/>
      <c r="C338" s="178"/>
      <c r="D338" s="178"/>
      <c r="E338" s="178"/>
      <c r="F338" s="178"/>
      <c r="G338" s="178"/>
      <c r="H338" s="178"/>
    </row>
    <row r="339" spans="1:8" ht="12.75">
      <c r="A339" s="178"/>
      <c r="B339" s="178"/>
      <c r="C339" s="178"/>
      <c r="D339" s="178"/>
      <c r="E339" s="178"/>
      <c r="F339" s="178"/>
      <c r="G339" s="178"/>
      <c r="H339" s="178"/>
    </row>
    <row r="340" spans="1:8" ht="12.75">
      <c r="A340" s="178"/>
      <c r="B340" s="178"/>
      <c r="C340" s="178"/>
      <c r="D340" s="178"/>
      <c r="E340" s="178"/>
      <c r="F340" s="178"/>
      <c r="G340" s="178"/>
      <c r="H340" s="178"/>
    </row>
    <row r="341" spans="1:8" ht="12.75">
      <c r="A341" s="178"/>
      <c r="B341" s="178"/>
      <c r="C341" s="178"/>
      <c r="D341" s="178"/>
      <c r="E341" s="178"/>
      <c r="F341" s="178"/>
      <c r="G341" s="178"/>
      <c r="H341" s="178"/>
    </row>
    <row r="342" spans="1:8" ht="12.75">
      <c r="A342" s="178"/>
      <c r="B342" s="178"/>
      <c r="C342" s="178"/>
      <c r="D342" s="178"/>
      <c r="E342" s="178"/>
      <c r="F342" s="178"/>
      <c r="G342" s="178"/>
      <c r="H342" s="178"/>
    </row>
    <row r="343" spans="1:8" ht="12.75">
      <c r="A343" s="178"/>
      <c r="B343" s="178"/>
      <c r="C343" s="178"/>
      <c r="D343" s="178"/>
      <c r="E343" s="178"/>
      <c r="F343" s="178"/>
      <c r="G343" s="178"/>
      <c r="H343" s="178"/>
    </row>
    <row r="344" spans="1:8" ht="12.75">
      <c r="A344" s="178"/>
      <c r="B344" s="178"/>
      <c r="C344" s="178"/>
      <c r="D344" s="178"/>
      <c r="E344" s="178"/>
      <c r="F344" s="178"/>
      <c r="G344" s="178"/>
      <c r="H344" s="178"/>
    </row>
    <row r="345" spans="1:8" ht="12.75">
      <c r="A345" s="178"/>
      <c r="B345" s="178"/>
      <c r="C345" s="178"/>
      <c r="D345" s="178"/>
      <c r="E345" s="178"/>
      <c r="F345" s="178"/>
      <c r="G345" s="178"/>
      <c r="H345" s="178"/>
    </row>
    <row r="346" spans="1:8" ht="12.75">
      <c r="A346" s="178"/>
      <c r="B346" s="178"/>
      <c r="C346" s="178"/>
      <c r="D346" s="178"/>
      <c r="E346" s="178"/>
      <c r="F346" s="178"/>
      <c r="G346" s="178"/>
      <c r="H346" s="178"/>
    </row>
    <row r="347" spans="1:8" ht="12.75">
      <c r="A347" s="178"/>
      <c r="B347" s="178"/>
      <c r="C347" s="178"/>
      <c r="D347" s="178"/>
      <c r="E347" s="178"/>
      <c r="F347" s="178"/>
      <c r="G347" s="178"/>
      <c r="H347" s="178"/>
    </row>
    <row r="348" spans="1:8" ht="12.75">
      <c r="A348" s="178"/>
      <c r="B348" s="178"/>
      <c r="C348" s="178"/>
      <c r="D348" s="178"/>
      <c r="E348" s="178"/>
      <c r="F348" s="178"/>
      <c r="G348" s="178"/>
      <c r="H348" s="178"/>
    </row>
    <row r="349" spans="1:8" ht="12.75">
      <c r="A349" s="178"/>
      <c r="B349" s="178"/>
      <c r="C349" s="178"/>
      <c r="D349" s="178"/>
      <c r="E349" s="178"/>
      <c r="F349" s="178"/>
      <c r="G349" s="178"/>
      <c r="H349" s="178"/>
    </row>
    <row r="350" spans="1:8" ht="12.75">
      <c r="A350" s="178"/>
      <c r="B350" s="178"/>
      <c r="C350" s="178"/>
      <c r="D350" s="178"/>
      <c r="E350" s="178"/>
      <c r="F350" s="178"/>
      <c r="G350" s="178"/>
      <c r="H350" s="178"/>
    </row>
    <row r="351" spans="1:8" ht="12.75">
      <c r="A351" s="178"/>
      <c r="B351" s="178"/>
      <c r="C351" s="178"/>
      <c r="D351" s="178"/>
      <c r="E351" s="178"/>
      <c r="F351" s="178"/>
      <c r="G351" s="178"/>
      <c r="H351" s="178"/>
    </row>
    <row r="352" spans="1:8" ht="12.75">
      <c r="A352" s="178"/>
      <c r="B352" s="178"/>
      <c r="C352" s="178"/>
      <c r="D352" s="178"/>
      <c r="E352" s="178"/>
      <c r="F352" s="178"/>
      <c r="G352" s="178"/>
      <c r="H352" s="178"/>
    </row>
    <row r="353" spans="1:8" ht="12.75">
      <c r="A353" s="178"/>
      <c r="B353" s="178"/>
      <c r="C353" s="178"/>
      <c r="D353" s="178"/>
      <c r="E353" s="178"/>
      <c r="F353" s="178"/>
      <c r="G353" s="178"/>
      <c r="H353" s="178"/>
    </row>
    <row r="354" spans="1:8" ht="12.75">
      <c r="A354" s="178"/>
      <c r="B354" s="178"/>
      <c r="C354" s="178"/>
      <c r="D354" s="178"/>
      <c r="E354" s="178"/>
      <c r="F354" s="178"/>
      <c r="G354" s="178"/>
      <c r="H354" s="178"/>
    </row>
    <row r="355" spans="1:8" ht="12.75">
      <c r="A355" s="178"/>
      <c r="B355" s="178"/>
      <c r="C355" s="178"/>
      <c r="D355" s="178"/>
      <c r="E355" s="178"/>
      <c r="F355" s="178"/>
      <c r="G355" s="178"/>
      <c r="H355" s="178"/>
    </row>
    <row r="356" spans="1:8" ht="12.75">
      <c r="A356" s="178"/>
      <c r="B356" s="178"/>
      <c r="C356" s="178"/>
      <c r="D356" s="178"/>
      <c r="E356" s="178"/>
      <c r="F356" s="178"/>
      <c r="G356" s="178"/>
      <c r="H356" s="178"/>
    </row>
    <row r="357" spans="1:8" ht="12.75">
      <c r="A357" s="178"/>
      <c r="B357" s="178"/>
      <c r="C357" s="178"/>
      <c r="D357" s="178"/>
      <c r="E357" s="178"/>
      <c r="F357" s="178"/>
      <c r="G357" s="178"/>
      <c r="H357" s="178"/>
    </row>
    <row r="358" spans="1:8" ht="12.75">
      <c r="A358" s="178"/>
      <c r="B358" s="178"/>
      <c r="C358" s="178"/>
      <c r="D358" s="178"/>
      <c r="E358" s="178"/>
      <c r="F358" s="178"/>
      <c r="G358" s="178"/>
      <c r="H358" s="178"/>
    </row>
    <row r="359" spans="1:8" ht="12.75">
      <c r="A359" s="178"/>
      <c r="B359" s="178"/>
      <c r="C359" s="178"/>
      <c r="D359" s="178"/>
      <c r="E359" s="178"/>
      <c r="F359" s="178"/>
      <c r="G359" s="178"/>
      <c r="H359" s="178"/>
    </row>
    <row r="360" spans="1:8" ht="12.75">
      <c r="A360" s="178"/>
      <c r="B360" s="178"/>
      <c r="C360" s="178"/>
      <c r="D360" s="178"/>
      <c r="E360" s="178"/>
      <c r="F360" s="178"/>
      <c r="G360" s="178"/>
      <c r="H360" s="178"/>
    </row>
    <row r="361" spans="1:8" ht="12.75">
      <c r="A361" s="178"/>
      <c r="B361" s="178"/>
      <c r="C361" s="178"/>
      <c r="D361" s="178"/>
      <c r="E361" s="178"/>
      <c r="F361" s="178"/>
      <c r="G361" s="178"/>
      <c r="H361" s="178"/>
    </row>
    <row r="362" spans="1:8" ht="12.75">
      <c r="A362" s="178"/>
      <c r="B362" s="178"/>
      <c r="C362" s="178"/>
      <c r="D362" s="178"/>
      <c r="E362" s="178"/>
      <c r="F362" s="178"/>
      <c r="G362" s="178"/>
      <c r="H362" s="178"/>
    </row>
    <row r="363" spans="1:8" ht="12.75">
      <c r="A363" s="178"/>
      <c r="B363" s="178"/>
      <c r="C363" s="178"/>
      <c r="D363" s="178"/>
      <c r="E363" s="178"/>
      <c r="F363" s="178"/>
      <c r="G363" s="178"/>
      <c r="H363" s="178"/>
    </row>
    <row r="364" spans="1:8" ht="12.75">
      <c r="A364" s="178"/>
      <c r="B364" s="178"/>
      <c r="C364" s="178"/>
      <c r="D364" s="178"/>
      <c r="E364" s="178"/>
      <c r="F364" s="178"/>
      <c r="G364" s="178"/>
      <c r="H364" s="178"/>
    </row>
    <row r="365" spans="1:8" ht="12.75">
      <c r="A365" s="178"/>
      <c r="B365" s="178"/>
      <c r="C365" s="178"/>
      <c r="D365" s="178"/>
      <c r="E365" s="178"/>
      <c r="F365" s="178"/>
      <c r="G365" s="178"/>
      <c r="H365" s="178"/>
    </row>
    <row r="366" spans="1:8" ht="12.75">
      <c r="A366" s="178"/>
      <c r="B366" s="178"/>
      <c r="C366" s="178"/>
      <c r="D366" s="178"/>
      <c r="E366" s="178"/>
      <c r="F366" s="178"/>
      <c r="G366" s="178"/>
      <c r="H366" s="178"/>
    </row>
    <row r="367" spans="1:8" ht="12.75">
      <c r="A367" s="178"/>
      <c r="B367" s="178"/>
      <c r="C367" s="178"/>
      <c r="D367" s="178"/>
      <c r="E367" s="178"/>
      <c r="F367" s="178"/>
      <c r="G367" s="178"/>
      <c r="H367" s="178"/>
    </row>
    <row r="368" spans="1:8" ht="12.75">
      <c r="A368" s="178"/>
      <c r="B368" s="178"/>
      <c r="C368" s="178"/>
      <c r="D368" s="178"/>
      <c r="E368" s="178"/>
      <c r="F368" s="178"/>
      <c r="G368" s="178"/>
      <c r="H368" s="178"/>
    </row>
    <row r="369" spans="1:8" ht="12.75">
      <c r="A369" s="178"/>
      <c r="B369" s="178"/>
      <c r="C369" s="178"/>
      <c r="D369" s="178"/>
      <c r="E369" s="178"/>
      <c r="F369" s="178"/>
      <c r="G369" s="178"/>
      <c r="H369" s="178"/>
    </row>
    <row r="370" spans="1:8" ht="12.75">
      <c r="A370" s="178"/>
      <c r="B370" s="178"/>
      <c r="C370" s="178"/>
      <c r="D370" s="178"/>
      <c r="E370" s="178"/>
      <c r="F370" s="178"/>
      <c r="G370" s="178"/>
      <c r="H370" s="178"/>
    </row>
    <row r="371" spans="1:8" ht="12.75">
      <c r="A371" s="178"/>
      <c r="B371" s="178"/>
      <c r="C371" s="178"/>
      <c r="D371" s="178"/>
      <c r="E371" s="178"/>
      <c r="F371" s="178"/>
      <c r="G371" s="178"/>
      <c r="H371" s="178"/>
    </row>
    <row r="372" spans="1:8" ht="12.75">
      <c r="A372" s="178"/>
      <c r="B372" s="178"/>
      <c r="C372" s="178"/>
      <c r="D372" s="178"/>
      <c r="E372" s="178"/>
      <c r="F372" s="178"/>
      <c r="G372" s="178"/>
      <c r="H372" s="178"/>
    </row>
    <row r="373" spans="1:8" ht="12.75">
      <c r="A373" s="178"/>
      <c r="B373" s="178"/>
      <c r="C373" s="178"/>
      <c r="D373" s="178"/>
      <c r="E373" s="178"/>
      <c r="F373" s="178"/>
      <c r="G373" s="178"/>
      <c r="H373" s="178"/>
    </row>
    <row r="374" spans="1:8" ht="12.75">
      <c r="A374" s="178"/>
      <c r="B374" s="178"/>
      <c r="C374" s="178"/>
      <c r="D374" s="178"/>
      <c r="E374" s="178"/>
      <c r="F374" s="178"/>
      <c r="G374" s="178"/>
      <c r="H374" s="178"/>
    </row>
    <row r="375" spans="1:8" ht="12.75">
      <c r="A375" s="178"/>
      <c r="B375" s="178"/>
      <c r="C375" s="178"/>
      <c r="D375" s="178"/>
      <c r="E375" s="178"/>
      <c r="F375" s="178"/>
      <c r="G375" s="178"/>
      <c r="H375" s="178"/>
    </row>
    <row r="376" spans="1:8" ht="12.75">
      <c r="A376" s="178"/>
      <c r="B376" s="178"/>
      <c r="C376" s="178"/>
      <c r="D376" s="178"/>
      <c r="E376" s="178"/>
      <c r="F376" s="178"/>
      <c r="G376" s="178"/>
      <c r="H376" s="178"/>
    </row>
    <row r="377" spans="1:8" ht="12.75">
      <c r="A377" s="178"/>
      <c r="B377" s="178"/>
      <c r="C377" s="178"/>
      <c r="D377" s="178"/>
      <c r="E377" s="178"/>
      <c r="F377" s="178"/>
      <c r="G377" s="178"/>
      <c r="H377" s="178"/>
    </row>
    <row r="378" spans="1:8" ht="12.75">
      <c r="A378" s="178"/>
      <c r="B378" s="178"/>
      <c r="C378" s="178"/>
      <c r="D378" s="178"/>
      <c r="E378" s="178"/>
      <c r="F378" s="178"/>
      <c r="G378" s="178"/>
      <c r="H378" s="178"/>
    </row>
    <row r="379" spans="1:8" ht="12.75">
      <c r="A379" s="178"/>
      <c r="B379" s="178"/>
      <c r="C379" s="178"/>
      <c r="D379" s="178"/>
      <c r="E379" s="178"/>
      <c r="F379" s="178"/>
      <c r="G379" s="178"/>
      <c r="H379" s="178"/>
    </row>
    <row r="380" spans="1:8" ht="12.75">
      <c r="A380" s="178"/>
      <c r="B380" s="178"/>
      <c r="C380" s="178"/>
      <c r="D380" s="178"/>
      <c r="E380" s="178"/>
      <c r="F380" s="178"/>
      <c r="G380" s="178"/>
      <c r="H380" s="178"/>
    </row>
    <row r="381" spans="1:8" ht="12.75">
      <c r="A381" s="178"/>
      <c r="B381" s="178"/>
      <c r="C381" s="178"/>
      <c r="D381" s="178"/>
      <c r="E381" s="178"/>
      <c r="F381" s="178"/>
      <c r="G381" s="178"/>
      <c r="H381" s="178"/>
    </row>
    <row r="382" spans="1:8" ht="12.75">
      <c r="A382" s="178"/>
      <c r="B382" s="178"/>
      <c r="C382" s="178"/>
      <c r="D382" s="178"/>
      <c r="E382" s="178"/>
      <c r="F382" s="178"/>
      <c r="G382" s="178"/>
      <c r="H382" s="178"/>
    </row>
    <row r="383" spans="1:8" ht="12.75">
      <c r="A383" s="178"/>
      <c r="B383" s="178"/>
      <c r="C383" s="178"/>
      <c r="D383" s="178"/>
      <c r="E383" s="178"/>
      <c r="F383" s="178"/>
      <c r="G383" s="178"/>
      <c r="H383" s="178"/>
    </row>
    <row r="384" spans="1:8" ht="12.75">
      <c r="A384" s="178"/>
      <c r="B384" s="178"/>
      <c r="C384" s="178"/>
      <c r="D384" s="178"/>
      <c r="E384" s="178"/>
      <c r="F384" s="178"/>
      <c r="G384" s="178"/>
      <c r="H384" s="178"/>
    </row>
    <row r="385" spans="1:8" ht="12.75">
      <c r="A385" s="178"/>
      <c r="B385" s="178"/>
      <c r="C385" s="178"/>
      <c r="D385" s="178"/>
      <c r="E385" s="178"/>
      <c r="F385" s="178"/>
      <c r="G385" s="178"/>
      <c r="H385" s="178"/>
    </row>
    <row r="386" spans="1:8" ht="12.75">
      <c r="A386" s="178"/>
      <c r="B386" s="178"/>
      <c r="C386" s="178"/>
      <c r="D386" s="178"/>
      <c r="E386" s="178"/>
      <c r="F386" s="178"/>
      <c r="G386" s="178"/>
      <c r="H386" s="178"/>
    </row>
    <row r="387" spans="1:8" ht="12.75">
      <c r="A387" s="178"/>
      <c r="B387" s="178"/>
      <c r="C387" s="178"/>
      <c r="D387" s="178"/>
      <c r="E387" s="178"/>
      <c r="F387" s="178"/>
      <c r="G387" s="178"/>
      <c r="H387" s="178"/>
    </row>
    <row r="388" spans="1:8" ht="12.75">
      <c r="A388" s="178"/>
      <c r="B388" s="178"/>
      <c r="C388" s="178"/>
      <c r="D388" s="178"/>
      <c r="E388" s="178"/>
      <c r="F388" s="178"/>
      <c r="G388" s="178"/>
      <c r="H388" s="178"/>
    </row>
    <row r="389" spans="1:8" ht="12.75">
      <c r="A389" s="178"/>
      <c r="B389" s="178"/>
      <c r="C389" s="178"/>
      <c r="D389" s="178"/>
      <c r="E389" s="178"/>
      <c r="F389" s="178"/>
      <c r="G389" s="178"/>
      <c r="H389" s="178"/>
    </row>
    <row r="390" spans="1:8" ht="12.75">
      <c r="A390" s="178"/>
      <c r="B390" s="178"/>
      <c r="C390" s="178"/>
      <c r="D390" s="178"/>
      <c r="E390" s="178"/>
      <c r="F390" s="178"/>
      <c r="G390" s="178"/>
      <c r="H390" s="178"/>
    </row>
    <row r="391" spans="1:8" ht="12.75">
      <c r="A391" s="178"/>
      <c r="B391" s="178"/>
      <c r="C391" s="178"/>
      <c r="D391" s="178"/>
      <c r="E391" s="178"/>
      <c r="F391" s="178"/>
      <c r="G391" s="178"/>
      <c r="H391" s="178"/>
    </row>
    <row r="392" spans="1:8" ht="12.75">
      <c r="A392" s="178"/>
      <c r="B392" s="178"/>
      <c r="C392" s="178"/>
      <c r="D392" s="178"/>
      <c r="E392" s="178"/>
      <c r="F392" s="178"/>
      <c r="G392" s="178"/>
      <c r="H392" s="178"/>
    </row>
    <row r="393" spans="1:8" ht="12.75">
      <c r="A393" s="178"/>
      <c r="B393" s="178"/>
      <c r="C393" s="178"/>
      <c r="D393" s="178"/>
      <c r="E393" s="178"/>
      <c r="F393" s="178"/>
      <c r="G393" s="178"/>
      <c r="H393" s="178"/>
    </row>
    <row r="394" spans="1:8" ht="12.75">
      <c r="A394" s="178"/>
      <c r="B394" s="178"/>
      <c r="C394" s="178"/>
      <c r="D394" s="178"/>
      <c r="E394" s="178"/>
      <c r="F394" s="178"/>
      <c r="G394" s="178"/>
      <c r="H394" s="178"/>
    </row>
    <row r="395" spans="1:8" ht="12.75">
      <c r="A395" s="178"/>
      <c r="B395" s="178"/>
      <c r="C395" s="178"/>
      <c r="D395" s="178"/>
      <c r="E395" s="178"/>
      <c r="F395" s="178"/>
      <c r="G395" s="178"/>
      <c r="H395" s="178"/>
    </row>
    <row r="396" spans="1:8" ht="12.75">
      <c r="A396" s="178"/>
      <c r="B396" s="178"/>
      <c r="C396" s="178"/>
      <c r="D396" s="178"/>
      <c r="E396" s="178"/>
      <c r="F396" s="178"/>
      <c r="G396" s="178"/>
      <c r="H396" s="178"/>
    </row>
    <row r="397" spans="1:8" ht="12.75">
      <c r="A397" s="178"/>
      <c r="B397" s="178"/>
      <c r="C397" s="178"/>
      <c r="D397" s="178"/>
      <c r="E397" s="178"/>
      <c r="F397" s="178"/>
      <c r="G397" s="178"/>
      <c r="H397" s="178"/>
    </row>
    <row r="398" spans="1:8" ht="12.75">
      <c r="A398" s="178"/>
      <c r="B398" s="178"/>
      <c r="C398" s="178"/>
      <c r="D398" s="178"/>
      <c r="E398" s="178"/>
      <c r="F398" s="178"/>
      <c r="G398" s="178"/>
      <c r="H398" s="178"/>
    </row>
    <row r="399" spans="1:8" ht="12.75">
      <c r="A399" s="178"/>
      <c r="B399" s="178"/>
      <c r="C399" s="178"/>
      <c r="D399" s="178"/>
      <c r="E399" s="178"/>
      <c r="F399" s="178"/>
      <c r="G399" s="178"/>
      <c r="H399" s="178"/>
    </row>
    <row r="400" spans="1:8" ht="12.75">
      <c r="A400" s="178"/>
      <c r="B400" s="178"/>
      <c r="C400" s="178"/>
      <c r="D400" s="178"/>
      <c r="E400" s="178"/>
      <c r="F400" s="178"/>
      <c r="G400" s="178"/>
      <c r="H400" s="178"/>
    </row>
    <row r="401" spans="1:8" ht="12.75">
      <c r="A401" s="178"/>
      <c r="B401" s="178"/>
      <c r="C401" s="178"/>
      <c r="D401" s="178"/>
      <c r="E401" s="178"/>
      <c r="F401" s="178"/>
      <c r="G401" s="178"/>
      <c r="H401" s="178"/>
    </row>
    <row r="402" spans="1:8" ht="12.75">
      <c r="A402" s="178"/>
      <c r="B402" s="178"/>
      <c r="C402" s="178"/>
      <c r="D402" s="178"/>
      <c r="E402" s="178"/>
      <c r="F402" s="178"/>
      <c r="G402" s="178"/>
      <c r="H402" s="178"/>
    </row>
    <row r="403" spans="1:8" ht="12.75">
      <c r="A403" s="178"/>
      <c r="B403" s="178"/>
      <c r="C403" s="178"/>
      <c r="D403" s="178"/>
      <c r="E403" s="178"/>
      <c r="F403" s="178"/>
      <c r="G403" s="178"/>
      <c r="H403" s="178"/>
    </row>
    <row r="404" spans="1:8" ht="12.75">
      <c r="A404" s="178"/>
      <c r="B404" s="178"/>
      <c r="C404" s="178"/>
      <c r="D404" s="178"/>
      <c r="E404" s="178"/>
      <c r="F404" s="178"/>
      <c r="G404" s="178"/>
      <c r="H404" s="178"/>
    </row>
    <row r="405" spans="1:8" ht="12.75">
      <c r="A405" s="178"/>
      <c r="B405" s="178"/>
      <c r="C405" s="178"/>
      <c r="D405" s="178"/>
      <c r="E405" s="178"/>
      <c r="F405" s="178"/>
      <c r="G405" s="178"/>
      <c r="H405" s="178"/>
    </row>
    <row r="406" spans="1:8" ht="12.75">
      <c r="A406" s="178"/>
      <c r="B406" s="178"/>
      <c r="C406" s="178"/>
      <c r="D406" s="178"/>
      <c r="E406" s="178"/>
      <c r="F406" s="178"/>
      <c r="G406" s="178"/>
      <c r="H406" s="178"/>
    </row>
    <row r="407" spans="1:8" ht="12.75">
      <c r="A407" s="178"/>
      <c r="B407" s="178"/>
      <c r="C407" s="178"/>
      <c r="D407" s="178"/>
      <c r="E407" s="178"/>
      <c r="F407" s="178"/>
      <c r="G407" s="178"/>
      <c r="H407" s="178"/>
    </row>
    <row r="408" spans="1:8" ht="12.75">
      <c r="A408" s="178"/>
      <c r="B408" s="178"/>
      <c r="C408" s="178"/>
      <c r="D408" s="178"/>
      <c r="E408" s="178"/>
      <c r="F408" s="178"/>
      <c r="G408" s="178"/>
      <c r="H408" s="178"/>
    </row>
    <row r="409" spans="1:8" ht="12.75">
      <c r="A409" s="178"/>
      <c r="B409" s="178"/>
      <c r="C409" s="178"/>
      <c r="D409" s="178"/>
      <c r="E409" s="178"/>
      <c r="F409" s="178"/>
      <c r="G409" s="178"/>
      <c r="H409" s="178"/>
    </row>
    <row r="410" spans="1:8" ht="12.75">
      <c r="A410" s="178"/>
      <c r="B410" s="178"/>
      <c r="C410" s="178"/>
      <c r="D410" s="178"/>
      <c r="E410" s="178"/>
      <c r="F410" s="178"/>
      <c r="G410" s="178"/>
      <c r="H410" s="178"/>
    </row>
    <row r="411" spans="1:8" ht="12.75">
      <c r="A411" s="178"/>
      <c r="B411" s="178"/>
      <c r="C411" s="178"/>
      <c r="D411" s="178"/>
      <c r="E411" s="178"/>
      <c r="F411" s="178"/>
      <c r="G411" s="178"/>
      <c r="H411" s="178"/>
    </row>
    <row r="412" spans="1:8" ht="12.75">
      <c r="A412" s="178"/>
      <c r="B412" s="178"/>
      <c r="C412" s="178"/>
      <c r="D412" s="178"/>
      <c r="E412" s="178"/>
      <c r="F412" s="178"/>
      <c r="G412" s="178"/>
      <c r="H412" s="178"/>
    </row>
    <row r="413" spans="1:8" ht="12.75">
      <c r="A413" s="178"/>
      <c r="B413" s="178"/>
      <c r="C413" s="178"/>
      <c r="D413" s="178"/>
      <c r="E413" s="178"/>
      <c r="F413" s="178"/>
      <c r="G413" s="178"/>
      <c r="H413" s="178"/>
    </row>
    <row r="414" spans="1:8" ht="12.75">
      <c r="A414" s="178"/>
      <c r="B414" s="178"/>
      <c r="C414" s="178"/>
      <c r="D414" s="178"/>
      <c r="E414" s="178"/>
      <c r="F414" s="178"/>
      <c r="G414" s="178"/>
      <c r="H414" s="178"/>
    </row>
    <row r="415" spans="1:8" ht="12.75">
      <c r="A415" s="178"/>
      <c r="B415" s="178"/>
      <c r="C415" s="178"/>
      <c r="D415" s="178"/>
      <c r="E415" s="178"/>
      <c r="F415" s="178"/>
      <c r="G415" s="178"/>
      <c r="H415" s="178"/>
    </row>
    <row r="416" spans="1:8" ht="12.75">
      <c r="A416" s="178"/>
      <c r="B416" s="178"/>
      <c r="C416" s="178"/>
      <c r="D416" s="178"/>
      <c r="E416" s="178"/>
      <c r="F416" s="178"/>
      <c r="G416" s="178"/>
      <c r="H416" s="178"/>
    </row>
    <row r="417" spans="1:8" ht="12.75">
      <c r="A417" s="178"/>
      <c r="B417" s="178"/>
      <c r="C417" s="178"/>
      <c r="D417" s="178"/>
      <c r="E417" s="178"/>
      <c r="F417" s="178"/>
      <c r="G417" s="178"/>
      <c r="H417" s="178"/>
    </row>
    <row r="418" spans="1:8" ht="12.75">
      <c r="A418" s="178"/>
      <c r="B418" s="178"/>
      <c r="C418" s="178"/>
      <c r="D418" s="178"/>
      <c r="E418" s="178"/>
      <c r="F418" s="178"/>
      <c r="G418" s="178"/>
      <c r="H418" s="178"/>
    </row>
    <row r="419" spans="1:8" ht="12.75">
      <c r="A419" s="178"/>
      <c r="B419" s="178"/>
      <c r="C419" s="178"/>
      <c r="D419" s="178"/>
      <c r="E419" s="178"/>
      <c r="F419" s="178"/>
      <c r="G419" s="178"/>
      <c r="H419" s="178"/>
    </row>
    <row r="420" spans="1:8" ht="12.75">
      <c r="A420" s="178"/>
      <c r="B420" s="178"/>
      <c r="C420" s="178"/>
      <c r="D420" s="178"/>
      <c r="E420" s="178"/>
      <c r="F420" s="178"/>
      <c r="G420" s="178"/>
      <c r="H420" s="178"/>
    </row>
    <row r="421" spans="1:8" ht="12.75">
      <c r="A421" s="178"/>
      <c r="B421" s="178"/>
      <c r="C421" s="178"/>
      <c r="D421" s="178"/>
      <c r="E421" s="178"/>
      <c r="F421" s="178"/>
      <c r="G421" s="178"/>
      <c r="H421" s="178"/>
    </row>
    <row r="422" spans="1:8" ht="12.75">
      <c r="A422" s="178"/>
      <c r="B422" s="178"/>
      <c r="C422" s="178"/>
      <c r="D422" s="178"/>
      <c r="E422" s="178"/>
      <c r="F422" s="178"/>
      <c r="G422" s="178"/>
      <c r="H422" s="178"/>
    </row>
    <row r="423" spans="1:8" ht="12.75">
      <c r="A423" s="178"/>
      <c r="B423" s="178"/>
      <c r="C423" s="178"/>
      <c r="D423" s="178"/>
      <c r="E423" s="178"/>
      <c r="F423" s="178"/>
      <c r="G423" s="178"/>
      <c r="H423" s="178"/>
    </row>
    <row r="424" spans="1:8" ht="12.75">
      <c r="A424" s="178"/>
      <c r="B424" s="178"/>
      <c r="C424" s="178"/>
      <c r="D424" s="178"/>
      <c r="E424" s="178"/>
      <c r="F424" s="178"/>
      <c r="G424" s="178"/>
      <c r="H424" s="178"/>
    </row>
    <row r="425" spans="1:8" ht="12.75">
      <c r="A425" s="178"/>
      <c r="B425" s="178"/>
      <c r="C425" s="178"/>
      <c r="D425" s="178"/>
      <c r="E425" s="178"/>
      <c r="F425" s="178"/>
      <c r="G425" s="178"/>
      <c r="H425" s="178"/>
    </row>
    <row r="426" spans="1:8" ht="12.75">
      <c r="A426" s="178"/>
      <c r="B426" s="178"/>
      <c r="C426" s="178"/>
      <c r="D426" s="178"/>
      <c r="E426" s="178"/>
      <c r="F426" s="178"/>
      <c r="G426" s="178"/>
      <c r="H426" s="178"/>
    </row>
    <row r="427" spans="1:8" ht="12.75">
      <c r="A427" s="178"/>
      <c r="B427" s="178"/>
      <c r="C427" s="178"/>
      <c r="D427" s="178"/>
      <c r="E427" s="178"/>
      <c r="F427" s="178"/>
      <c r="G427" s="178"/>
      <c r="H427" s="178"/>
    </row>
    <row r="428" spans="1:8" ht="12.75">
      <c r="A428" s="178"/>
      <c r="B428" s="178"/>
      <c r="C428" s="178"/>
      <c r="D428" s="178"/>
      <c r="E428" s="178"/>
      <c r="F428" s="178"/>
      <c r="G428" s="178"/>
      <c r="H428" s="178"/>
    </row>
    <row r="429" spans="1:8" ht="12.75">
      <c r="A429" s="178"/>
      <c r="B429" s="178"/>
      <c r="C429" s="178"/>
      <c r="D429" s="178"/>
      <c r="E429" s="178"/>
      <c r="F429" s="178"/>
      <c r="G429" s="178"/>
      <c r="H429" s="178"/>
    </row>
    <row r="430" spans="1:8" ht="12.75">
      <c r="A430" s="178"/>
      <c r="B430" s="178"/>
      <c r="C430" s="178"/>
      <c r="D430" s="178"/>
      <c r="E430" s="178"/>
      <c r="F430" s="178"/>
      <c r="G430" s="178"/>
      <c r="H430" s="178"/>
    </row>
    <row r="431" spans="1:8" ht="12.75">
      <c r="A431" s="178"/>
      <c r="B431" s="178"/>
      <c r="C431" s="178"/>
      <c r="D431" s="178"/>
      <c r="E431" s="178"/>
      <c r="F431" s="178"/>
      <c r="G431" s="178"/>
      <c r="H431" s="178"/>
    </row>
    <row r="432" spans="1:8" ht="12.75">
      <c r="A432" s="178"/>
      <c r="B432" s="178"/>
      <c r="C432" s="178"/>
      <c r="D432" s="178"/>
      <c r="E432" s="178"/>
      <c r="F432" s="178"/>
      <c r="G432" s="178"/>
      <c r="H432" s="178"/>
    </row>
    <row r="433" spans="1:8" ht="12.75">
      <c r="A433" s="178"/>
      <c r="B433" s="178"/>
      <c r="C433" s="178"/>
      <c r="D433" s="178"/>
      <c r="E433" s="178"/>
      <c r="F433" s="178"/>
      <c r="G433" s="178"/>
      <c r="H433" s="178"/>
    </row>
    <row r="434" spans="1:8" ht="12.75">
      <c r="A434" s="178"/>
      <c r="B434" s="178"/>
      <c r="C434" s="178"/>
      <c r="D434" s="178"/>
      <c r="E434" s="178"/>
      <c r="F434" s="178"/>
      <c r="G434" s="178"/>
      <c r="H434" s="178"/>
    </row>
    <row r="435" spans="1:8" ht="12.75">
      <c r="A435" s="178"/>
      <c r="B435" s="178"/>
      <c r="C435" s="178"/>
      <c r="D435" s="178"/>
      <c r="E435" s="178"/>
      <c r="F435" s="178"/>
      <c r="G435" s="178"/>
      <c r="H435" s="178"/>
    </row>
    <row r="436" spans="1:8" ht="12.75">
      <c r="A436" s="178"/>
      <c r="B436" s="178"/>
      <c r="C436" s="178"/>
      <c r="D436" s="178"/>
      <c r="E436" s="178"/>
      <c r="F436" s="178"/>
      <c r="G436" s="178"/>
      <c r="H436" s="178"/>
    </row>
    <row r="437" spans="1:8" ht="12.75">
      <c r="A437" s="178"/>
      <c r="B437" s="178"/>
      <c r="C437" s="178"/>
      <c r="D437" s="178"/>
      <c r="E437" s="178"/>
      <c r="F437" s="178"/>
      <c r="G437" s="178"/>
      <c r="H437" s="178"/>
    </row>
    <row r="438" spans="1:8" ht="12.75">
      <c r="A438" s="178"/>
      <c r="B438" s="178"/>
      <c r="C438" s="178"/>
      <c r="D438" s="178"/>
      <c r="E438" s="178"/>
      <c r="F438" s="178"/>
      <c r="G438" s="178"/>
      <c r="H438" s="178"/>
    </row>
    <row r="439" spans="1:8" ht="12.75">
      <c r="A439" s="178"/>
      <c r="B439" s="178"/>
      <c r="C439" s="178"/>
      <c r="D439" s="178"/>
      <c r="E439" s="178"/>
      <c r="F439" s="178"/>
      <c r="G439" s="178"/>
      <c r="H439" s="178"/>
    </row>
    <row r="440" spans="1:8" ht="12.75">
      <c r="A440" s="178"/>
      <c r="B440" s="178"/>
      <c r="C440" s="178"/>
      <c r="D440" s="178"/>
      <c r="E440" s="178"/>
      <c r="F440" s="178"/>
      <c r="G440" s="178"/>
      <c r="H440" s="178"/>
    </row>
    <row r="441" spans="1:8" ht="12.75">
      <c r="A441" s="178"/>
      <c r="B441" s="178"/>
      <c r="C441" s="178"/>
      <c r="D441" s="178"/>
      <c r="E441" s="178"/>
      <c r="F441" s="178"/>
      <c r="G441" s="178"/>
      <c r="H441" s="178"/>
    </row>
    <row r="442" spans="1:8" ht="12.75">
      <c r="A442" s="178"/>
      <c r="B442" s="178"/>
      <c r="C442" s="178"/>
      <c r="D442" s="178"/>
      <c r="E442" s="178"/>
      <c r="F442" s="178"/>
      <c r="G442" s="178"/>
      <c r="H442" s="178"/>
    </row>
    <row r="443" spans="1:8" ht="12.75">
      <c r="A443" s="178"/>
      <c r="B443" s="178"/>
      <c r="C443" s="178"/>
      <c r="D443" s="178"/>
      <c r="E443" s="178"/>
      <c r="F443" s="178"/>
      <c r="G443" s="178"/>
      <c r="H443" s="178"/>
    </row>
    <row r="444" spans="1:8" ht="12.75">
      <c r="A444" s="178"/>
      <c r="B444" s="178"/>
      <c r="C444" s="178"/>
      <c r="D444" s="178"/>
      <c r="E444" s="178"/>
      <c r="F444" s="178"/>
      <c r="G444" s="178"/>
      <c r="H444" s="178"/>
    </row>
    <row r="445" spans="1:8" ht="12.75">
      <c r="A445" s="178"/>
      <c r="B445" s="178"/>
      <c r="C445" s="178"/>
      <c r="D445" s="178"/>
      <c r="E445" s="178"/>
      <c r="F445" s="178"/>
      <c r="G445" s="178"/>
      <c r="H445" s="178"/>
    </row>
    <row r="446" spans="1:8" ht="12.75">
      <c r="A446" s="178"/>
      <c r="B446" s="178"/>
      <c r="C446" s="178"/>
      <c r="D446" s="178"/>
      <c r="E446" s="178"/>
      <c r="F446" s="178"/>
      <c r="G446" s="178"/>
      <c r="H446" s="178"/>
    </row>
    <row r="447" spans="1:8" ht="12.75">
      <c r="A447" s="178"/>
      <c r="B447" s="178"/>
      <c r="C447" s="178"/>
      <c r="D447" s="178"/>
      <c r="E447" s="178"/>
      <c r="F447" s="178"/>
      <c r="G447" s="178"/>
      <c r="H447" s="178"/>
    </row>
    <row r="448" spans="1:8" ht="12.75">
      <c r="A448" s="178"/>
      <c r="B448" s="178"/>
      <c r="C448" s="178"/>
      <c r="D448" s="178"/>
      <c r="E448" s="178"/>
      <c r="F448" s="178"/>
      <c r="G448" s="178"/>
      <c r="H448" s="178"/>
    </row>
    <row r="449" spans="1:8" ht="12.75">
      <c r="A449" s="178"/>
      <c r="B449" s="178"/>
      <c r="C449" s="178"/>
      <c r="D449" s="178"/>
      <c r="E449" s="178"/>
      <c r="F449" s="178"/>
      <c r="G449" s="178"/>
      <c r="H449" s="178"/>
    </row>
    <row r="450" spans="1:8" ht="12.75">
      <c r="A450" s="178"/>
      <c r="B450" s="178"/>
      <c r="C450" s="178"/>
      <c r="D450" s="178"/>
      <c r="E450" s="178"/>
      <c r="F450" s="178"/>
      <c r="G450" s="178"/>
      <c r="H450" s="178"/>
    </row>
    <row r="451" spans="1:8" ht="12.75">
      <c r="A451" s="178"/>
      <c r="B451" s="178"/>
      <c r="C451" s="178"/>
      <c r="D451" s="178"/>
      <c r="E451" s="178"/>
      <c r="F451" s="178"/>
      <c r="G451" s="178"/>
      <c r="H451" s="178"/>
    </row>
    <row r="452" spans="1:8" ht="12.75">
      <c r="A452" s="178"/>
      <c r="B452" s="178"/>
      <c r="C452" s="178"/>
      <c r="D452" s="178"/>
      <c r="E452" s="178"/>
      <c r="F452" s="178"/>
      <c r="G452" s="178"/>
      <c r="H452" s="178"/>
    </row>
    <row r="453" spans="1:8" ht="12.75">
      <c r="A453" s="178"/>
      <c r="B453" s="178"/>
      <c r="C453" s="178"/>
      <c r="D453" s="178"/>
      <c r="E453" s="178"/>
      <c r="F453" s="178"/>
      <c r="G453" s="178"/>
      <c r="H453" s="178"/>
    </row>
    <row r="454" spans="1:8" ht="12.75">
      <c r="A454" s="178"/>
      <c r="B454" s="178"/>
      <c r="C454" s="178"/>
      <c r="D454" s="178"/>
      <c r="E454" s="178"/>
      <c r="F454" s="178"/>
      <c r="G454" s="178"/>
      <c r="H454" s="178"/>
    </row>
    <row r="455" spans="1:8" ht="12.75">
      <c r="A455" s="178"/>
      <c r="B455" s="178"/>
      <c r="C455" s="178"/>
      <c r="D455" s="178"/>
      <c r="E455" s="178"/>
      <c r="F455" s="178"/>
      <c r="G455" s="178"/>
      <c r="H455" s="178"/>
    </row>
    <row r="456" spans="1:8" ht="12.75">
      <c r="A456" s="178"/>
      <c r="B456" s="178"/>
      <c r="C456" s="178"/>
      <c r="D456" s="178"/>
      <c r="E456" s="178"/>
      <c r="F456" s="178"/>
      <c r="G456" s="178"/>
      <c r="H456" s="178"/>
    </row>
    <row r="457" spans="1:8" ht="12.75">
      <c r="A457" s="178"/>
      <c r="B457" s="178"/>
      <c r="C457" s="178"/>
      <c r="D457" s="178"/>
      <c r="E457" s="178"/>
      <c r="F457" s="178"/>
      <c r="G457" s="178"/>
      <c r="H457" s="178"/>
    </row>
    <row r="458" spans="1:8" ht="12.75">
      <c r="A458" s="178"/>
      <c r="B458" s="178"/>
      <c r="C458" s="178"/>
      <c r="D458" s="178"/>
      <c r="E458" s="178"/>
      <c r="F458" s="178"/>
      <c r="G458" s="178"/>
      <c r="H458" s="178"/>
    </row>
    <row r="459" spans="1:8" ht="12.75">
      <c r="A459" s="178"/>
      <c r="B459" s="178"/>
      <c r="C459" s="178"/>
      <c r="D459" s="178"/>
      <c r="E459" s="178"/>
      <c r="F459" s="178"/>
      <c r="G459" s="178"/>
      <c r="H459" s="178"/>
    </row>
    <row r="460" spans="1:8" ht="12.75">
      <c r="A460" s="178"/>
      <c r="B460" s="178"/>
      <c r="C460" s="178"/>
      <c r="D460" s="178"/>
      <c r="E460" s="178"/>
      <c r="F460" s="178"/>
      <c r="G460" s="178"/>
      <c r="H460" s="178"/>
    </row>
    <row r="461" spans="1:8" ht="12.75">
      <c r="A461" s="178"/>
      <c r="B461" s="178"/>
      <c r="C461" s="178"/>
      <c r="D461" s="178"/>
      <c r="E461" s="178"/>
      <c r="F461" s="178"/>
      <c r="G461" s="178"/>
      <c r="H461" s="178"/>
    </row>
    <row r="462" spans="1:8" ht="12.75">
      <c r="A462" s="178"/>
      <c r="B462" s="178"/>
      <c r="C462" s="178"/>
      <c r="D462" s="178"/>
      <c r="E462" s="178"/>
      <c r="F462" s="178"/>
      <c r="G462" s="178"/>
      <c r="H462" s="178"/>
    </row>
    <row r="463" spans="1:8" ht="12.75">
      <c r="A463" s="178"/>
      <c r="B463" s="178"/>
      <c r="C463" s="178"/>
      <c r="D463" s="178"/>
      <c r="E463" s="178"/>
      <c r="F463" s="178"/>
      <c r="G463" s="178"/>
      <c r="H463" s="178"/>
    </row>
    <row r="464" spans="1:8" ht="12.75">
      <c r="A464" s="178"/>
      <c r="B464" s="178"/>
      <c r="C464" s="178"/>
      <c r="D464" s="178"/>
      <c r="E464" s="178"/>
      <c r="F464" s="178"/>
      <c r="G464" s="178"/>
      <c r="H464" s="178"/>
    </row>
    <row r="465" spans="1:8" ht="12.75">
      <c r="A465" s="178"/>
      <c r="B465" s="178"/>
      <c r="C465" s="178"/>
      <c r="D465" s="178"/>
      <c r="E465" s="178"/>
      <c r="F465" s="178"/>
      <c r="G465" s="178"/>
      <c r="H465" s="178"/>
    </row>
    <row r="466" spans="1:8" ht="12.75">
      <c r="A466" s="178"/>
      <c r="B466" s="178"/>
      <c r="C466" s="178"/>
      <c r="D466" s="178"/>
      <c r="E466" s="178"/>
      <c r="F466" s="178"/>
      <c r="G466" s="178"/>
      <c r="H466" s="178"/>
    </row>
    <row r="467" spans="1:8" ht="12.75">
      <c r="A467" s="178"/>
      <c r="B467" s="178"/>
      <c r="C467" s="178"/>
      <c r="D467" s="178"/>
      <c r="E467" s="178"/>
      <c r="F467" s="178"/>
      <c r="G467" s="178"/>
      <c r="H467" s="178"/>
    </row>
    <row r="468" spans="1:8" ht="12.75">
      <c r="A468" s="178"/>
      <c r="B468" s="178"/>
      <c r="C468" s="178"/>
      <c r="D468" s="178"/>
      <c r="E468" s="178"/>
      <c r="F468" s="178"/>
      <c r="G468" s="178"/>
      <c r="H468" s="178"/>
    </row>
    <row r="469" spans="1:8" ht="12.75">
      <c r="A469" s="178"/>
      <c r="B469" s="178"/>
      <c r="C469" s="178"/>
      <c r="D469" s="178"/>
      <c r="E469" s="178"/>
      <c r="F469" s="178"/>
      <c r="G469" s="178"/>
      <c r="H469" s="178"/>
    </row>
    <row r="470" spans="1:8" ht="12.75">
      <c r="A470" s="178"/>
      <c r="B470" s="178"/>
      <c r="C470" s="178"/>
      <c r="D470" s="178"/>
      <c r="E470" s="178"/>
      <c r="F470" s="178"/>
      <c r="G470" s="178"/>
      <c r="H470" s="178"/>
    </row>
    <row r="471" spans="1:8" ht="12.75">
      <c r="A471" s="178"/>
      <c r="B471" s="178"/>
      <c r="C471" s="178"/>
      <c r="D471" s="178"/>
      <c r="E471" s="178"/>
      <c r="F471" s="178"/>
      <c r="G471" s="178"/>
      <c r="H471" s="178"/>
    </row>
    <row r="472" spans="1:8" ht="12.75">
      <c r="A472" s="178"/>
      <c r="B472" s="178"/>
      <c r="C472" s="178"/>
      <c r="D472" s="178"/>
      <c r="E472" s="178"/>
      <c r="F472" s="178"/>
      <c r="G472" s="178"/>
      <c r="H472" s="178"/>
    </row>
    <row r="473" spans="1:8" ht="12.75">
      <c r="A473" s="178"/>
      <c r="B473" s="178"/>
      <c r="C473" s="178"/>
      <c r="D473" s="178"/>
      <c r="E473" s="178"/>
      <c r="F473" s="178"/>
      <c r="G473" s="178"/>
      <c r="H473" s="178"/>
    </row>
    <row r="474" spans="1:8" ht="12.75">
      <c r="A474" s="178"/>
      <c r="B474" s="178"/>
      <c r="C474" s="178"/>
      <c r="D474" s="178"/>
      <c r="E474" s="178"/>
      <c r="F474" s="178"/>
      <c r="G474" s="178"/>
      <c r="H474" s="178"/>
    </row>
    <row r="475" spans="1:8" ht="12.75">
      <c r="A475" s="178"/>
      <c r="B475" s="178"/>
      <c r="C475" s="178"/>
      <c r="D475" s="178"/>
      <c r="E475" s="178"/>
      <c r="F475" s="178"/>
      <c r="G475" s="178"/>
      <c r="H475" s="178"/>
    </row>
    <row r="476" spans="1:8" ht="12.75">
      <c r="A476" s="178"/>
      <c r="B476" s="178"/>
      <c r="C476" s="178"/>
      <c r="D476" s="178"/>
      <c r="E476" s="178"/>
      <c r="F476" s="178"/>
      <c r="G476" s="178"/>
      <c r="H476" s="178"/>
    </row>
    <row r="477" spans="1:8" ht="12.75">
      <c r="A477" s="178"/>
      <c r="B477" s="178"/>
      <c r="C477" s="178"/>
      <c r="D477" s="178"/>
      <c r="E477" s="178"/>
      <c r="F477" s="178"/>
      <c r="G477" s="178"/>
      <c r="H477" s="178"/>
    </row>
    <row r="478" spans="1:8" ht="12.75">
      <c r="A478" s="178"/>
      <c r="B478" s="178"/>
      <c r="C478" s="178"/>
      <c r="D478" s="178"/>
      <c r="E478" s="178"/>
      <c r="F478" s="178"/>
      <c r="G478" s="178"/>
      <c r="H478" s="178"/>
    </row>
    <row r="479" spans="1:8" ht="12.75">
      <c r="A479" s="178"/>
      <c r="B479" s="178"/>
      <c r="C479" s="178"/>
      <c r="D479" s="178"/>
      <c r="E479" s="178"/>
      <c r="F479" s="178"/>
      <c r="G479" s="178"/>
      <c r="H479" s="178"/>
    </row>
    <row r="480" spans="1:8" ht="12.75">
      <c r="A480" s="178"/>
      <c r="B480" s="178"/>
      <c r="C480" s="178"/>
      <c r="D480" s="178"/>
      <c r="E480" s="178"/>
      <c r="F480" s="178"/>
      <c r="G480" s="178"/>
      <c r="H480" s="178"/>
    </row>
    <row r="481" spans="1:8" ht="12.75">
      <c r="A481" s="178"/>
      <c r="B481" s="178"/>
      <c r="C481" s="178"/>
      <c r="D481" s="178"/>
      <c r="E481" s="178"/>
      <c r="F481" s="178"/>
      <c r="G481" s="178"/>
      <c r="H481" s="178"/>
    </row>
    <row r="482" spans="1:8" ht="12.75">
      <c r="A482" s="178"/>
      <c r="B482" s="178"/>
      <c r="C482" s="178"/>
      <c r="D482" s="178"/>
      <c r="E482" s="178"/>
      <c r="F482" s="178"/>
      <c r="G482" s="178"/>
      <c r="H482" s="178"/>
    </row>
    <row r="483" spans="1:8" ht="12.75">
      <c r="A483" s="178"/>
      <c r="B483" s="178"/>
      <c r="C483" s="178"/>
      <c r="D483" s="178"/>
      <c r="E483" s="178"/>
      <c r="F483" s="178"/>
      <c r="G483" s="178"/>
      <c r="H483" s="178"/>
    </row>
    <row r="484" spans="1:8" ht="12.75">
      <c r="A484" s="178"/>
      <c r="B484" s="178"/>
      <c r="C484" s="178"/>
      <c r="D484" s="178"/>
      <c r="E484" s="178"/>
      <c r="F484" s="178"/>
      <c r="G484" s="178"/>
      <c r="H484" s="178"/>
    </row>
    <row r="485" spans="1:8" ht="12.75">
      <c r="A485" s="178"/>
      <c r="B485" s="178"/>
      <c r="C485" s="178"/>
      <c r="D485" s="178"/>
      <c r="E485" s="178"/>
      <c r="F485" s="178"/>
      <c r="G485" s="178"/>
      <c r="H485" s="178"/>
    </row>
    <row r="486" spans="1:8" ht="12.75">
      <c r="A486" s="178"/>
      <c r="B486" s="178"/>
      <c r="C486" s="178"/>
      <c r="D486" s="178"/>
      <c r="E486" s="178"/>
      <c r="F486" s="178"/>
      <c r="G486" s="178"/>
      <c r="H486" s="178"/>
    </row>
    <row r="487" spans="1:8" ht="12.75">
      <c r="A487" s="178"/>
      <c r="B487" s="178"/>
      <c r="C487" s="178"/>
      <c r="D487" s="178"/>
      <c r="E487" s="178"/>
      <c r="F487" s="178"/>
      <c r="G487" s="178"/>
      <c r="H487" s="178"/>
    </row>
    <row r="488" spans="1:8" ht="12.75">
      <c r="A488" s="178"/>
      <c r="B488" s="178"/>
      <c r="C488" s="178"/>
      <c r="D488" s="178"/>
      <c r="E488" s="178"/>
      <c r="F488" s="178"/>
      <c r="G488" s="178"/>
      <c r="H488" s="178"/>
    </row>
    <row r="489" spans="1:8" ht="12.75">
      <c r="A489" s="178"/>
      <c r="B489" s="178"/>
      <c r="C489" s="178"/>
      <c r="D489" s="178"/>
      <c r="E489" s="178"/>
      <c r="F489" s="178"/>
      <c r="G489" s="178"/>
      <c r="H489" s="178"/>
    </row>
    <row r="490" spans="1:8" ht="12.75">
      <c r="A490" s="178"/>
      <c r="B490" s="178"/>
      <c r="C490" s="178"/>
      <c r="D490" s="178"/>
      <c r="E490" s="178"/>
      <c r="F490" s="178"/>
      <c r="G490" s="178"/>
      <c r="H490" s="178"/>
    </row>
    <row r="491" spans="1:8" ht="12.75">
      <c r="A491" s="178"/>
      <c r="B491" s="178"/>
      <c r="C491" s="178"/>
      <c r="D491" s="178"/>
      <c r="E491" s="178"/>
      <c r="F491" s="178"/>
      <c r="G491" s="178"/>
      <c r="H491" s="178"/>
    </row>
    <row r="492" spans="1:8" ht="12.75">
      <c r="A492" s="178"/>
      <c r="B492" s="178"/>
      <c r="C492" s="178"/>
      <c r="D492" s="178"/>
      <c r="E492" s="178"/>
      <c r="F492" s="178"/>
      <c r="G492" s="178"/>
      <c r="H492" s="178"/>
    </row>
    <row r="493" spans="1:8" ht="12.75">
      <c r="A493" s="178"/>
      <c r="B493" s="178"/>
      <c r="C493" s="178"/>
      <c r="D493" s="178"/>
      <c r="E493" s="178"/>
      <c r="F493" s="178"/>
      <c r="G493" s="178"/>
      <c r="H493" s="178"/>
    </row>
    <row r="494" spans="1:8" ht="12.75">
      <c r="A494" s="178"/>
      <c r="B494" s="178"/>
      <c r="C494" s="178"/>
      <c r="D494" s="178"/>
      <c r="E494" s="178"/>
      <c r="F494" s="178"/>
      <c r="G494" s="178"/>
      <c r="H494" s="178"/>
    </row>
    <row r="495" spans="1:8" ht="12.75">
      <c r="A495" s="178"/>
      <c r="B495" s="178"/>
      <c r="C495" s="178"/>
      <c r="D495" s="178"/>
      <c r="E495" s="178"/>
      <c r="F495" s="178"/>
      <c r="G495" s="178"/>
      <c r="H495" s="178"/>
    </row>
    <row r="496" spans="1:8" ht="12.75">
      <c r="A496" s="178"/>
      <c r="B496" s="178"/>
      <c r="C496" s="178"/>
      <c r="D496" s="178"/>
      <c r="E496" s="178"/>
      <c r="F496" s="178"/>
      <c r="G496" s="178"/>
      <c r="H496" s="178"/>
    </row>
    <row r="497" spans="1:8" ht="12.75">
      <c r="A497" s="178"/>
      <c r="B497" s="178"/>
      <c r="C497" s="178"/>
      <c r="D497" s="178"/>
      <c r="E497" s="178"/>
      <c r="F497" s="178"/>
      <c r="G497" s="178"/>
      <c r="H497" s="178"/>
    </row>
    <row r="498" spans="1:8" ht="12.75">
      <c r="A498" s="178"/>
      <c r="B498" s="178"/>
      <c r="C498" s="178"/>
      <c r="D498" s="178"/>
      <c r="E498" s="178"/>
      <c r="F498" s="178"/>
      <c r="G498" s="178"/>
      <c r="H498" s="178"/>
    </row>
    <row r="499" spans="1:8" ht="12.75">
      <c r="A499" s="178"/>
      <c r="B499" s="178"/>
      <c r="C499" s="178"/>
      <c r="D499" s="178"/>
      <c r="E499" s="178"/>
      <c r="F499" s="178"/>
      <c r="G499" s="178"/>
      <c r="H499" s="178"/>
    </row>
    <row r="500" spans="1:8" ht="12.75">
      <c r="A500" s="178"/>
      <c r="B500" s="178"/>
      <c r="C500" s="178"/>
      <c r="D500" s="178"/>
      <c r="E500" s="178"/>
      <c r="F500" s="178"/>
      <c r="G500" s="178"/>
      <c r="H500" s="178"/>
    </row>
    <row r="501" spans="1:8" ht="12.75">
      <c r="A501" s="178"/>
      <c r="B501" s="178"/>
      <c r="C501" s="178"/>
      <c r="D501" s="178"/>
      <c r="E501" s="178"/>
      <c r="F501" s="178"/>
      <c r="G501" s="178"/>
      <c r="H501" s="178"/>
    </row>
    <row r="502" spans="1:8" ht="12.75">
      <c r="A502" s="178"/>
      <c r="B502" s="178"/>
      <c r="C502" s="178"/>
      <c r="D502" s="178"/>
      <c r="E502" s="178"/>
      <c r="F502" s="178"/>
      <c r="G502" s="178"/>
      <c r="H502" s="178"/>
    </row>
    <row r="503" spans="1:8" ht="12.75">
      <c r="A503" s="178"/>
      <c r="B503" s="178"/>
      <c r="C503" s="178"/>
      <c r="D503" s="178"/>
      <c r="E503" s="178"/>
      <c r="F503" s="178"/>
      <c r="G503" s="178"/>
      <c r="H503" s="178"/>
    </row>
    <row r="504" spans="1:8" ht="12.75">
      <c r="A504" s="178"/>
      <c r="B504" s="178"/>
      <c r="C504" s="178"/>
      <c r="D504" s="178"/>
      <c r="E504" s="178"/>
      <c r="F504" s="178"/>
      <c r="G504" s="178"/>
      <c r="H504" s="178"/>
    </row>
    <row r="505" spans="1:8" ht="12.75">
      <c r="A505" s="178"/>
      <c r="B505" s="178"/>
      <c r="C505" s="178"/>
      <c r="D505" s="178"/>
      <c r="E505" s="178"/>
      <c r="F505" s="178"/>
      <c r="G505" s="178"/>
      <c r="H505" s="178"/>
    </row>
    <row r="506" spans="1:8" ht="12.75">
      <c r="A506" s="178"/>
      <c r="B506" s="178"/>
      <c r="C506" s="178"/>
      <c r="D506" s="178"/>
      <c r="E506" s="178"/>
      <c r="F506" s="178"/>
      <c r="G506" s="178"/>
      <c r="H506" s="178"/>
    </row>
    <row r="507" spans="1:8" ht="12.75">
      <c r="A507" s="178"/>
      <c r="B507" s="178"/>
      <c r="C507" s="178"/>
      <c r="D507" s="178"/>
      <c r="E507" s="178"/>
      <c r="F507" s="178"/>
      <c r="G507" s="178"/>
      <c r="H507" s="178"/>
    </row>
    <row r="508" spans="1:8" ht="12.75">
      <c r="A508" s="178"/>
      <c r="B508" s="178"/>
      <c r="C508" s="178"/>
      <c r="D508" s="178"/>
      <c r="E508" s="178"/>
      <c r="F508" s="178"/>
      <c r="G508" s="178"/>
      <c r="H508" s="178"/>
    </row>
    <row r="509" spans="1:8" ht="12.75">
      <c r="A509" s="178"/>
      <c r="B509" s="178"/>
      <c r="C509" s="178"/>
      <c r="D509" s="178"/>
      <c r="E509" s="178"/>
      <c r="F509" s="178"/>
      <c r="G509" s="178"/>
      <c r="H509" s="178"/>
    </row>
    <row r="510" spans="1:8" ht="12.75">
      <c r="A510" s="178"/>
      <c r="B510" s="178"/>
      <c r="C510" s="178"/>
      <c r="D510" s="178"/>
      <c r="E510" s="178"/>
      <c r="F510" s="178"/>
      <c r="G510" s="178"/>
      <c r="H510" s="178"/>
    </row>
    <row r="511" spans="1:8" ht="12.75">
      <c r="A511" s="178"/>
      <c r="B511" s="178"/>
      <c r="C511" s="178"/>
      <c r="D511" s="178"/>
      <c r="E511" s="178"/>
      <c r="F511" s="178"/>
      <c r="G511" s="178"/>
      <c r="H511" s="178"/>
    </row>
    <row r="512" spans="1:8" ht="12.75">
      <c r="A512" s="178"/>
      <c r="B512" s="178"/>
      <c r="C512" s="178"/>
      <c r="D512" s="178"/>
      <c r="E512" s="178"/>
      <c r="F512" s="178"/>
      <c r="G512" s="178"/>
      <c r="H512" s="178"/>
    </row>
    <row r="513" spans="1:8" ht="12.75">
      <c r="A513" s="178"/>
      <c r="B513" s="178"/>
      <c r="C513" s="178"/>
      <c r="D513" s="178"/>
      <c r="E513" s="178"/>
      <c r="F513" s="178"/>
      <c r="G513" s="178"/>
      <c r="H513" s="178"/>
    </row>
    <row r="514" spans="1:8" ht="12.75">
      <c r="A514" s="178"/>
      <c r="B514" s="178"/>
      <c r="C514" s="178"/>
      <c r="D514" s="178"/>
      <c r="E514" s="178"/>
      <c r="F514" s="178"/>
      <c r="G514" s="178"/>
      <c r="H514" s="178"/>
    </row>
    <row r="515" spans="1:8" ht="12.75">
      <c r="A515" s="178"/>
      <c r="B515" s="178"/>
      <c r="C515" s="178"/>
      <c r="D515" s="178"/>
      <c r="E515" s="178"/>
      <c r="F515" s="178"/>
      <c r="G515" s="178"/>
      <c r="H515" s="178"/>
    </row>
    <row r="516" spans="1:8" ht="12.75">
      <c r="A516" s="178"/>
      <c r="B516" s="178"/>
      <c r="C516" s="178"/>
      <c r="D516" s="178"/>
      <c r="E516" s="178"/>
      <c r="F516" s="178"/>
      <c r="G516" s="178"/>
      <c r="H516" s="178"/>
    </row>
    <row r="517" spans="1:8" ht="12.75">
      <c r="A517" s="178"/>
      <c r="B517" s="178"/>
      <c r="C517" s="178"/>
      <c r="D517" s="178"/>
      <c r="E517" s="178"/>
      <c r="F517" s="178"/>
      <c r="G517" s="178"/>
      <c r="H517" s="178"/>
    </row>
    <row r="518" spans="1:8" ht="12.75">
      <c r="A518" s="178"/>
      <c r="B518" s="178"/>
      <c r="C518" s="178"/>
      <c r="D518" s="178"/>
      <c r="E518" s="178"/>
      <c r="F518" s="178"/>
      <c r="G518" s="178"/>
      <c r="H518" s="178"/>
    </row>
    <row r="519" spans="1:8" ht="12.75">
      <c r="A519" s="178"/>
      <c r="B519" s="178"/>
      <c r="C519" s="178"/>
      <c r="D519" s="178"/>
      <c r="E519" s="178"/>
      <c r="F519" s="178"/>
      <c r="G519" s="178"/>
      <c r="H519" s="178"/>
    </row>
    <row r="520" spans="1:8" ht="12.75">
      <c r="A520" s="178"/>
      <c r="B520" s="178"/>
      <c r="C520" s="178"/>
      <c r="D520" s="178"/>
      <c r="E520" s="178"/>
      <c r="F520" s="178"/>
      <c r="G520" s="178"/>
      <c r="H520" s="178"/>
    </row>
    <row r="521" spans="1:8" ht="12.75">
      <c r="A521" s="178"/>
      <c r="B521" s="178"/>
      <c r="C521" s="178"/>
      <c r="D521" s="178"/>
      <c r="E521" s="178"/>
      <c r="F521" s="178"/>
      <c r="G521" s="178"/>
      <c r="H521" s="178"/>
    </row>
    <row r="522" spans="1:8" ht="12.75">
      <c r="A522" s="178"/>
      <c r="B522" s="178"/>
      <c r="C522" s="178"/>
      <c r="D522" s="178"/>
      <c r="E522" s="178"/>
      <c r="F522" s="178"/>
      <c r="G522" s="178"/>
      <c r="H522" s="178"/>
    </row>
    <row r="523" spans="1:8" ht="12.75">
      <c r="A523" s="178"/>
      <c r="B523" s="178"/>
      <c r="C523" s="178"/>
      <c r="D523" s="178"/>
      <c r="E523" s="178"/>
      <c r="F523" s="178"/>
      <c r="G523" s="178"/>
      <c r="H523" s="178"/>
    </row>
    <row r="524" spans="1:8" ht="12.75">
      <c r="A524" s="178"/>
      <c r="B524" s="178"/>
      <c r="C524" s="178"/>
      <c r="D524" s="178"/>
      <c r="E524" s="178"/>
      <c r="F524" s="178"/>
      <c r="G524" s="178"/>
      <c r="H524" s="178"/>
    </row>
    <row r="525" spans="1:8" ht="12.75">
      <c r="A525" s="178"/>
      <c r="B525" s="178"/>
      <c r="C525" s="178"/>
      <c r="D525" s="178"/>
      <c r="E525" s="178"/>
      <c r="F525" s="178"/>
      <c r="G525" s="178"/>
      <c r="H525" s="178"/>
    </row>
    <row r="526" spans="1:8" ht="12.75">
      <c r="A526" s="178"/>
      <c r="B526" s="178"/>
      <c r="C526" s="178"/>
      <c r="D526" s="178"/>
      <c r="E526" s="178"/>
      <c r="F526" s="178"/>
      <c r="G526" s="178"/>
      <c r="H526" s="178"/>
    </row>
    <row r="527" spans="1:8" ht="12.75">
      <c r="A527" s="178"/>
      <c r="B527" s="178"/>
      <c r="C527" s="178"/>
      <c r="D527" s="178"/>
      <c r="E527" s="178"/>
      <c r="F527" s="178"/>
      <c r="G527" s="178"/>
      <c r="H527" s="178"/>
    </row>
    <row r="528" spans="1:8" ht="12.75">
      <c r="A528" s="178"/>
      <c r="B528" s="178"/>
      <c r="C528" s="178"/>
      <c r="D528" s="178"/>
      <c r="E528" s="178"/>
      <c r="F528" s="178"/>
      <c r="G528" s="178"/>
      <c r="H528" s="178"/>
    </row>
    <row r="529" spans="1:8" ht="12.75">
      <c r="A529" s="178"/>
      <c r="B529" s="178"/>
      <c r="C529" s="178"/>
      <c r="D529" s="178"/>
      <c r="E529" s="178"/>
      <c r="F529" s="178"/>
      <c r="G529" s="178"/>
      <c r="H529" s="178"/>
    </row>
    <row r="530" spans="1:8" ht="12.75">
      <c r="A530" s="178"/>
      <c r="B530" s="178"/>
      <c r="C530" s="178"/>
      <c r="D530" s="178"/>
      <c r="E530" s="178"/>
      <c r="F530" s="178"/>
      <c r="G530" s="178"/>
      <c r="H530" s="178"/>
    </row>
    <row r="531" spans="1:8" ht="12.75">
      <c r="A531" s="178"/>
      <c r="B531" s="178"/>
      <c r="C531" s="178"/>
      <c r="D531" s="178"/>
      <c r="E531" s="178"/>
      <c r="F531" s="178"/>
      <c r="G531" s="178"/>
      <c r="H531" s="178"/>
    </row>
    <row r="532" spans="1:8" ht="12.75">
      <c r="A532" s="178"/>
      <c r="B532" s="178"/>
      <c r="C532" s="178"/>
      <c r="D532" s="178"/>
      <c r="E532" s="178"/>
      <c r="F532" s="178"/>
      <c r="G532" s="178"/>
      <c r="H532" s="178"/>
    </row>
    <row r="533" spans="1:8" ht="12.75">
      <c r="A533" s="178"/>
      <c r="B533" s="178"/>
      <c r="C533" s="178"/>
      <c r="D533" s="178"/>
      <c r="E533" s="178"/>
      <c r="F533" s="178"/>
      <c r="G533" s="178"/>
      <c r="H533" s="178"/>
    </row>
    <row r="534" spans="1:8" ht="12.75">
      <c r="A534" s="178"/>
      <c r="B534" s="178"/>
      <c r="C534" s="178"/>
      <c r="D534" s="178"/>
      <c r="E534" s="178"/>
      <c r="F534" s="178"/>
      <c r="G534" s="178"/>
      <c r="H534" s="178"/>
    </row>
    <row r="535" spans="1:8" ht="12.75">
      <c r="A535" s="178"/>
      <c r="B535" s="178"/>
      <c r="C535" s="178"/>
      <c r="D535" s="178"/>
      <c r="E535" s="178"/>
      <c r="F535" s="178"/>
      <c r="G535" s="178"/>
      <c r="H535" s="178"/>
    </row>
    <row r="536" spans="1:8" ht="12.75">
      <c r="A536" s="178"/>
      <c r="B536" s="178"/>
      <c r="C536" s="178"/>
      <c r="D536" s="178"/>
      <c r="E536" s="178"/>
      <c r="F536" s="178"/>
      <c r="G536" s="178"/>
      <c r="H536" s="178"/>
    </row>
    <row r="537" spans="1:8" ht="12.75">
      <c r="A537" s="178"/>
      <c r="B537" s="178"/>
      <c r="C537" s="178"/>
      <c r="D537" s="178"/>
      <c r="E537" s="178"/>
      <c r="F537" s="178"/>
      <c r="G537" s="178"/>
      <c r="H537" s="178"/>
    </row>
    <row r="538" spans="1:8" ht="12.75">
      <c r="A538" s="178"/>
      <c r="B538" s="178"/>
      <c r="C538" s="178"/>
      <c r="D538" s="178"/>
      <c r="E538" s="178"/>
      <c r="F538" s="178"/>
      <c r="G538" s="178"/>
      <c r="H538" s="178"/>
    </row>
    <row r="539" spans="1:8" ht="12.75">
      <c r="A539" s="178"/>
      <c r="B539" s="178"/>
      <c r="C539" s="178"/>
      <c r="D539" s="178"/>
      <c r="E539" s="178"/>
      <c r="F539" s="178"/>
      <c r="G539" s="178"/>
      <c r="H539" s="178"/>
    </row>
    <row r="540" spans="1:8" ht="12.75">
      <c r="A540" s="178"/>
      <c r="B540" s="178"/>
      <c r="C540" s="178"/>
      <c r="D540" s="178"/>
      <c r="E540" s="178"/>
      <c r="F540" s="178"/>
      <c r="G540" s="178"/>
      <c r="H540" s="178"/>
    </row>
    <row r="541" spans="1:8" ht="12.75">
      <c r="A541" s="178"/>
      <c r="B541" s="178"/>
      <c r="C541" s="178"/>
      <c r="D541" s="178"/>
      <c r="E541" s="178"/>
      <c r="F541" s="178"/>
      <c r="G541" s="178"/>
      <c r="H541" s="178"/>
    </row>
    <row r="542" spans="1:8" ht="12.75">
      <c r="A542" s="178"/>
      <c r="B542" s="178"/>
      <c r="C542" s="178"/>
      <c r="D542" s="178"/>
      <c r="E542" s="178"/>
      <c r="F542" s="178"/>
      <c r="G542" s="178"/>
      <c r="H542" s="178"/>
    </row>
    <row r="543" spans="1:8" ht="12.75">
      <c r="A543" s="178"/>
      <c r="B543" s="178"/>
      <c r="C543" s="178"/>
      <c r="D543" s="178"/>
      <c r="E543" s="178"/>
      <c r="F543" s="178"/>
      <c r="G543" s="178"/>
      <c r="H543" s="178"/>
    </row>
    <row r="544" spans="1:8" ht="12.75">
      <c r="A544" s="178"/>
      <c r="B544" s="178"/>
      <c r="C544" s="178"/>
      <c r="D544" s="178"/>
      <c r="E544" s="178"/>
      <c r="F544" s="178"/>
      <c r="G544" s="178"/>
      <c r="H544" s="178"/>
    </row>
    <row r="545" spans="1:8" ht="12.75">
      <c r="A545" s="178"/>
      <c r="B545" s="178"/>
      <c r="C545" s="178"/>
      <c r="D545" s="178"/>
      <c r="E545" s="178"/>
      <c r="F545" s="178"/>
      <c r="G545" s="178"/>
      <c r="H545" s="178"/>
    </row>
    <row r="546" spans="1:8" ht="12.75">
      <c r="A546" s="178"/>
      <c r="B546" s="178"/>
      <c r="C546" s="178"/>
      <c r="D546" s="178"/>
      <c r="E546" s="178"/>
      <c r="F546" s="178"/>
      <c r="G546" s="178"/>
      <c r="H546" s="178"/>
    </row>
    <row r="547" spans="1:8" ht="12.75">
      <c r="A547" s="178"/>
      <c r="B547" s="178"/>
      <c r="C547" s="178"/>
      <c r="D547" s="178"/>
      <c r="E547" s="178"/>
      <c r="F547" s="178"/>
      <c r="G547" s="178"/>
      <c r="H547" s="178"/>
    </row>
    <row r="548" spans="1:8" ht="12.75">
      <c r="A548" s="178"/>
      <c r="B548" s="178"/>
      <c r="C548" s="178"/>
      <c r="D548" s="178"/>
      <c r="E548" s="178"/>
      <c r="F548" s="178"/>
      <c r="G548" s="178"/>
      <c r="H548" s="178"/>
    </row>
    <row r="549" spans="1:8" ht="12.75">
      <c r="A549" s="178"/>
      <c r="B549" s="178"/>
      <c r="C549" s="178"/>
      <c r="D549" s="178"/>
      <c r="E549" s="178"/>
      <c r="F549" s="178"/>
      <c r="G549" s="178"/>
      <c r="H549" s="178"/>
    </row>
    <row r="550" spans="1:8" ht="12.75">
      <c r="A550" s="178"/>
      <c r="B550" s="178"/>
      <c r="C550" s="178"/>
      <c r="D550" s="178"/>
      <c r="E550" s="178"/>
      <c r="F550" s="178"/>
      <c r="G550" s="178"/>
      <c r="H550" s="178"/>
    </row>
    <row r="551" spans="1:8" ht="12.75">
      <c r="A551" s="178"/>
      <c r="B551" s="178"/>
      <c r="C551" s="178"/>
      <c r="D551" s="178"/>
      <c r="E551" s="178"/>
      <c r="F551" s="178"/>
      <c r="G551" s="178"/>
      <c r="H551" s="178"/>
    </row>
    <row r="552" spans="1:8" ht="12.75">
      <c r="A552" s="178"/>
      <c r="B552" s="178"/>
      <c r="C552" s="178"/>
      <c r="D552" s="178"/>
      <c r="E552" s="178"/>
      <c r="F552" s="178"/>
      <c r="G552" s="178"/>
      <c r="H552" s="178"/>
    </row>
    <row r="553" spans="1:8" ht="12.75">
      <c r="A553" s="178"/>
      <c r="B553" s="178"/>
      <c r="C553" s="178"/>
      <c r="D553" s="178"/>
      <c r="E553" s="178"/>
      <c r="F553" s="178"/>
      <c r="G553" s="178"/>
      <c r="H553" s="178"/>
    </row>
    <row r="554" spans="1:8" ht="12.75">
      <c r="A554" s="178"/>
      <c r="B554" s="178"/>
      <c r="C554" s="178"/>
      <c r="D554" s="178"/>
      <c r="E554" s="178"/>
      <c r="F554" s="178"/>
      <c r="G554" s="178"/>
      <c r="H554" s="178"/>
    </row>
    <row r="555" spans="1:8" ht="12.75">
      <c r="A555" s="178"/>
      <c r="B555" s="178"/>
      <c r="C555" s="178"/>
      <c r="D555" s="178"/>
      <c r="E555" s="178"/>
      <c r="F555" s="178"/>
      <c r="G555" s="178"/>
      <c r="H555" s="178"/>
    </row>
    <row r="556" spans="1:8" ht="12.75">
      <c r="A556" s="178"/>
      <c r="B556" s="178"/>
      <c r="C556" s="178"/>
      <c r="D556" s="178"/>
      <c r="E556" s="178"/>
      <c r="F556" s="178"/>
      <c r="G556" s="178"/>
      <c r="H556" s="178"/>
    </row>
    <row r="557" spans="1:8" ht="12.75">
      <c r="A557" s="178"/>
      <c r="B557" s="178"/>
      <c r="C557" s="178"/>
      <c r="D557" s="178"/>
      <c r="E557" s="178"/>
      <c r="F557" s="178"/>
      <c r="G557" s="178"/>
      <c r="H557" s="178"/>
    </row>
    <row r="558" spans="1:8" ht="12.75">
      <c r="A558" s="178"/>
      <c r="B558" s="178"/>
      <c r="C558" s="178"/>
      <c r="D558" s="178"/>
      <c r="E558" s="178"/>
      <c r="F558" s="178"/>
      <c r="G558" s="178"/>
      <c r="H558" s="178"/>
    </row>
    <row r="559" spans="1:8" ht="12.75">
      <c r="A559" s="178"/>
      <c r="B559" s="178"/>
      <c r="C559" s="178"/>
      <c r="D559" s="178"/>
      <c r="E559" s="178"/>
      <c r="F559" s="178"/>
      <c r="G559" s="178"/>
      <c r="H559" s="178"/>
    </row>
    <row r="560" spans="1:8" ht="12.75">
      <c r="A560" s="178"/>
      <c r="B560" s="178"/>
      <c r="C560" s="178"/>
      <c r="D560" s="178"/>
      <c r="E560" s="178"/>
      <c r="F560" s="178"/>
      <c r="G560" s="178"/>
      <c r="H560" s="178"/>
    </row>
    <row r="561" spans="1:8" ht="12.75">
      <c r="A561" s="178"/>
      <c r="B561" s="178"/>
      <c r="C561" s="178"/>
      <c r="D561" s="178"/>
      <c r="E561" s="178"/>
      <c r="F561" s="178"/>
      <c r="G561" s="178"/>
      <c r="H561" s="178"/>
    </row>
    <row r="562" spans="1:8" ht="12.75">
      <c r="A562" s="178"/>
      <c r="B562" s="178"/>
      <c r="C562" s="178"/>
      <c r="D562" s="178"/>
      <c r="E562" s="178"/>
      <c r="F562" s="178"/>
      <c r="G562" s="178"/>
      <c r="H562" s="178"/>
    </row>
    <row r="563" spans="1:8" ht="12.75">
      <c r="A563" s="178"/>
      <c r="B563" s="178"/>
      <c r="C563" s="178"/>
      <c r="D563" s="178"/>
      <c r="E563" s="178"/>
      <c r="F563" s="178"/>
      <c r="G563" s="178"/>
      <c r="H563" s="178"/>
    </row>
    <row r="564" spans="1:8" ht="12.75">
      <c r="A564" s="178"/>
      <c r="B564" s="178"/>
      <c r="C564" s="178"/>
      <c r="D564" s="178"/>
      <c r="E564" s="178"/>
      <c r="F564" s="178"/>
      <c r="G564" s="178"/>
      <c r="H564" s="178"/>
    </row>
    <row r="565" spans="1:8" ht="12.75">
      <c r="A565" s="178"/>
      <c r="B565" s="178"/>
      <c r="C565" s="178"/>
      <c r="D565" s="178"/>
      <c r="E565" s="178"/>
      <c r="F565" s="178"/>
      <c r="G565" s="178"/>
      <c r="H565" s="178"/>
    </row>
    <row r="566" spans="1:8" ht="12.75">
      <c r="A566" s="178"/>
      <c r="B566" s="178"/>
      <c r="C566" s="178"/>
      <c r="D566" s="178"/>
      <c r="E566" s="178"/>
      <c r="F566" s="178"/>
      <c r="G566" s="178"/>
      <c r="H566" s="178"/>
    </row>
    <row r="567" spans="1:8" ht="12.75">
      <c r="A567" s="178"/>
      <c r="B567" s="178"/>
      <c r="C567" s="178"/>
      <c r="D567" s="178"/>
      <c r="E567" s="178"/>
      <c r="F567" s="178"/>
      <c r="G567" s="178"/>
      <c r="H567" s="178"/>
    </row>
    <row r="568" spans="1:8" ht="12.75">
      <c r="A568" s="178"/>
      <c r="B568" s="178"/>
      <c r="C568" s="178"/>
      <c r="D568" s="178"/>
      <c r="E568" s="178"/>
      <c r="F568" s="178"/>
      <c r="G568" s="178"/>
      <c r="H568" s="178"/>
    </row>
    <row r="569" spans="1:8" ht="12.75">
      <c r="A569" s="178"/>
      <c r="B569" s="178"/>
      <c r="C569" s="178"/>
      <c r="D569" s="178"/>
      <c r="E569" s="178"/>
      <c r="F569" s="178"/>
      <c r="G569" s="178"/>
      <c r="H569" s="178"/>
    </row>
    <row r="570" spans="1:8" ht="12.75">
      <c r="A570" s="178"/>
      <c r="B570" s="178"/>
      <c r="C570" s="178"/>
      <c r="D570" s="178"/>
      <c r="E570" s="178"/>
      <c r="F570" s="178"/>
      <c r="G570" s="178"/>
      <c r="H570" s="178"/>
    </row>
    <row r="571" spans="1:8" ht="12.75">
      <c r="A571" s="178"/>
      <c r="B571" s="178"/>
      <c r="C571" s="178"/>
      <c r="D571" s="178"/>
      <c r="E571" s="178"/>
      <c r="F571" s="178"/>
      <c r="G571" s="178"/>
      <c r="H571" s="178"/>
    </row>
    <row r="572" spans="1:8" ht="12.75">
      <c r="A572" s="178"/>
      <c r="B572" s="178"/>
      <c r="C572" s="178"/>
      <c r="D572" s="178"/>
      <c r="E572" s="178"/>
      <c r="F572" s="178"/>
      <c r="G572" s="178"/>
      <c r="H572" s="178"/>
    </row>
    <row r="573" spans="1:8" ht="12.75">
      <c r="A573" s="178"/>
      <c r="B573" s="178"/>
      <c r="C573" s="178"/>
      <c r="D573" s="178"/>
      <c r="E573" s="178"/>
      <c r="F573" s="178"/>
      <c r="G573" s="178"/>
      <c r="H573" s="178"/>
    </row>
    <row r="574" spans="1:8" ht="12.75">
      <c r="A574" s="178"/>
      <c r="B574" s="178"/>
      <c r="C574" s="178"/>
      <c r="D574" s="178"/>
      <c r="E574" s="178"/>
      <c r="F574" s="178"/>
      <c r="G574" s="178"/>
      <c r="H574" s="178"/>
    </row>
    <row r="575" spans="1:8" ht="12.75">
      <c r="A575" s="178"/>
      <c r="B575" s="178"/>
      <c r="C575" s="178"/>
      <c r="D575" s="178"/>
      <c r="E575" s="178"/>
      <c r="F575" s="178"/>
      <c r="G575" s="178"/>
      <c r="H575" s="178"/>
    </row>
    <row r="576" spans="1:8" ht="12.75">
      <c r="A576" s="178"/>
      <c r="B576" s="178"/>
      <c r="C576" s="178"/>
      <c r="D576" s="178"/>
      <c r="E576" s="178"/>
      <c r="F576" s="178"/>
      <c r="G576" s="178"/>
      <c r="H576" s="178"/>
    </row>
    <row r="577" spans="1:8" ht="12.75">
      <c r="A577" s="178"/>
      <c r="B577" s="178"/>
      <c r="C577" s="178"/>
      <c r="D577" s="178"/>
      <c r="E577" s="178"/>
      <c r="F577" s="178"/>
      <c r="G577" s="178"/>
      <c r="H577" s="178"/>
    </row>
    <row r="578" spans="1:8" ht="12.75">
      <c r="A578" s="178"/>
      <c r="B578" s="178"/>
      <c r="C578" s="178"/>
      <c r="D578" s="178"/>
      <c r="E578" s="178"/>
      <c r="F578" s="178"/>
      <c r="G578" s="178"/>
      <c r="H578" s="178"/>
    </row>
    <row r="579" spans="1:8" ht="12.75">
      <c r="A579" s="178"/>
      <c r="B579" s="178"/>
      <c r="C579" s="178"/>
      <c r="D579" s="178"/>
      <c r="E579" s="178"/>
      <c r="F579" s="178"/>
      <c r="G579" s="178"/>
      <c r="H579" s="178"/>
    </row>
    <row r="580" spans="1:8" ht="12.75">
      <c r="A580" s="178"/>
      <c r="B580" s="178"/>
      <c r="C580" s="178"/>
      <c r="D580" s="178"/>
      <c r="E580" s="178"/>
      <c r="F580" s="178"/>
      <c r="G580" s="178"/>
      <c r="H580" s="178"/>
    </row>
    <row r="581" spans="1:8" ht="12.75">
      <c r="A581" s="178"/>
      <c r="B581" s="178"/>
      <c r="C581" s="178"/>
      <c r="D581" s="178"/>
      <c r="E581" s="178"/>
      <c r="F581" s="178"/>
      <c r="G581" s="178"/>
      <c r="H581" s="178"/>
    </row>
    <row r="582" spans="1:8" ht="12.75">
      <c r="A582" s="178"/>
      <c r="B582" s="178"/>
      <c r="C582" s="178"/>
      <c r="D582" s="178"/>
      <c r="E582" s="178"/>
      <c r="F582" s="178"/>
      <c r="G582" s="178"/>
      <c r="H582" s="178"/>
    </row>
    <row r="583" spans="1:8" ht="12.75">
      <c r="A583" s="178"/>
      <c r="B583" s="178"/>
      <c r="C583" s="178"/>
      <c r="D583" s="178"/>
      <c r="E583" s="178"/>
      <c r="F583" s="178"/>
      <c r="G583" s="178"/>
      <c r="H583" s="178"/>
    </row>
    <row r="584" spans="1:8" ht="12.75">
      <c r="A584" s="178"/>
      <c r="B584" s="178"/>
      <c r="C584" s="178"/>
      <c r="D584" s="178"/>
      <c r="E584" s="178"/>
      <c r="F584" s="178"/>
      <c r="G584" s="178"/>
      <c r="H584" s="178"/>
    </row>
    <row r="585" spans="1:8" ht="12.75">
      <c r="A585" s="178"/>
      <c r="B585" s="178"/>
      <c r="C585" s="178"/>
      <c r="D585" s="178"/>
      <c r="E585" s="178"/>
      <c r="F585" s="178"/>
      <c r="G585" s="178"/>
      <c r="H585" s="178"/>
    </row>
    <row r="586" spans="1:8" ht="12.75">
      <c r="A586" s="178"/>
      <c r="B586" s="178"/>
      <c r="C586" s="178"/>
      <c r="D586" s="178"/>
      <c r="E586" s="178"/>
      <c r="F586" s="178"/>
      <c r="G586" s="178"/>
      <c r="H586" s="178"/>
    </row>
    <row r="587" spans="1:8" ht="12.75">
      <c r="A587" s="178"/>
      <c r="B587" s="178"/>
      <c r="C587" s="178"/>
      <c r="D587" s="178"/>
      <c r="E587" s="178"/>
      <c r="F587" s="178"/>
      <c r="G587" s="178"/>
      <c r="H587" s="178"/>
    </row>
    <row r="588" spans="1:8" ht="12.75">
      <c r="A588" s="178"/>
      <c r="B588" s="178"/>
      <c r="C588" s="178"/>
      <c r="D588" s="178"/>
      <c r="E588" s="178"/>
      <c r="F588" s="178"/>
      <c r="G588" s="178"/>
      <c r="H588" s="178"/>
    </row>
    <row r="589" spans="1:8" ht="12.75">
      <c r="A589" s="178"/>
      <c r="B589" s="178"/>
      <c r="C589" s="178"/>
      <c r="D589" s="178"/>
      <c r="E589" s="178"/>
      <c r="F589" s="178"/>
      <c r="G589" s="178"/>
      <c r="H589" s="178"/>
    </row>
    <row r="590" spans="1:8" ht="12.75">
      <c r="A590" s="178"/>
      <c r="B590" s="178"/>
      <c r="C590" s="178"/>
      <c r="D590" s="178"/>
      <c r="E590" s="178"/>
      <c r="F590" s="178"/>
      <c r="G590" s="178"/>
      <c r="H590" s="178"/>
    </row>
    <row r="591" spans="1:8" ht="12.75">
      <c r="A591" s="178"/>
      <c r="B591" s="178"/>
      <c r="C591" s="178"/>
      <c r="D591" s="178"/>
      <c r="E591" s="178"/>
      <c r="F591" s="178"/>
      <c r="G591" s="178"/>
      <c r="H591" s="178"/>
    </row>
    <row r="592" spans="1:8" ht="12.75">
      <c r="A592" s="178"/>
      <c r="B592" s="178"/>
      <c r="C592" s="178"/>
      <c r="D592" s="178"/>
      <c r="E592" s="178"/>
      <c r="F592" s="178"/>
      <c r="G592" s="178"/>
      <c r="H592" s="178"/>
    </row>
    <row r="593" spans="1:8" ht="12.75">
      <c r="A593" s="178"/>
      <c r="B593" s="178"/>
      <c r="C593" s="178"/>
      <c r="D593" s="178"/>
      <c r="E593" s="178"/>
      <c r="F593" s="178"/>
      <c r="G593" s="178"/>
      <c r="H593" s="178"/>
    </row>
    <row r="594" spans="1:8" ht="12.75">
      <c r="A594" s="178"/>
      <c r="B594" s="178"/>
      <c r="C594" s="178"/>
      <c r="D594" s="178"/>
      <c r="E594" s="178"/>
      <c r="F594" s="178"/>
      <c r="G594" s="178"/>
      <c r="H594" s="178"/>
    </row>
    <row r="595" spans="1:8" ht="12.75">
      <c r="A595" s="178"/>
      <c r="B595" s="178"/>
      <c r="C595" s="178"/>
      <c r="D595" s="178"/>
      <c r="E595" s="178"/>
      <c r="F595" s="178"/>
      <c r="G595" s="178"/>
      <c r="H595" s="178"/>
    </row>
    <row r="596" spans="1:8" ht="12.75">
      <c r="A596" s="178"/>
      <c r="B596" s="178"/>
      <c r="C596" s="178"/>
      <c r="D596" s="178"/>
      <c r="E596" s="178"/>
      <c r="F596" s="178"/>
      <c r="G596" s="178"/>
      <c r="H596" s="178"/>
    </row>
    <row r="597" spans="1:8" ht="12.75">
      <c r="A597" s="178"/>
      <c r="B597" s="178"/>
      <c r="C597" s="178"/>
      <c r="D597" s="178"/>
      <c r="E597" s="178"/>
      <c r="F597" s="178"/>
      <c r="G597" s="178"/>
      <c r="H597" s="178"/>
    </row>
    <row r="598" spans="1:8" ht="12.75">
      <c r="A598" s="178"/>
      <c r="B598" s="178"/>
      <c r="C598" s="178"/>
      <c r="D598" s="178"/>
      <c r="E598" s="178"/>
      <c r="F598" s="178"/>
      <c r="G598" s="178"/>
      <c r="H598" s="178"/>
    </row>
    <row r="599" spans="1:8" ht="12.75">
      <c r="A599" s="178"/>
      <c r="B599" s="178"/>
      <c r="C599" s="178"/>
      <c r="D599" s="178"/>
      <c r="E599" s="178"/>
      <c r="F599" s="178"/>
      <c r="G599" s="178"/>
      <c r="H599" s="178"/>
    </row>
    <row r="600" spans="1:8" ht="12.75">
      <c r="A600" s="178"/>
      <c r="B600" s="178"/>
      <c r="C600" s="178"/>
      <c r="D600" s="178"/>
      <c r="E600" s="178"/>
      <c r="F600" s="178"/>
      <c r="G600" s="178"/>
      <c r="H600" s="178"/>
    </row>
    <row r="601" spans="1:8" ht="12.75">
      <c r="A601" s="178"/>
      <c r="B601" s="178"/>
      <c r="C601" s="178"/>
      <c r="D601" s="178"/>
      <c r="E601" s="178"/>
      <c r="F601" s="178"/>
      <c r="G601" s="178"/>
      <c r="H601" s="178"/>
    </row>
    <row r="602" spans="1:8" ht="12.75">
      <c r="A602" s="178"/>
      <c r="B602" s="178"/>
      <c r="C602" s="178"/>
      <c r="D602" s="178"/>
      <c r="E602" s="178"/>
      <c r="F602" s="178"/>
      <c r="G602" s="178"/>
      <c r="H602" s="178"/>
    </row>
    <row r="603" spans="1:8" ht="12.75">
      <c r="A603" s="178"/>
      <c r="B603" s="178"/>
      <c r="C603" s="178"/>
      <c r="D603" s="178"/>
      <c r="E603" s="178"/>
      <c r="F603" s="178"/>
      <c r="G603" s="178"/>
      <c r="H603" s="178"/>
    </row>
    <row r="604" spans="1:8" ht="12.75">
      <c r="A604" s="178"/>
      <c r="B604" s="178"/>
      <c r="C604" s="178"/>
      <c r="D604" s="178"/>
      <c r="E604" s="178"/>
      <c r="F604" s="178"/>
      <c r="G604" s="178"/>
      <c r="H604" s="178"/>
    </row>
    <row r="605" spans="1:8" ht="12.75">
      <c r="A605" s="178"/>
      <c r="B605" s="178"/>
      <c r="C605" s="178"/>
      <c r="D605" s="178"/>
      <c r="E605" s="178"/>
      <c r="F605" s="178"/>
      <c r="G605" s="178"/>
      <c r="H605" s="178"/>
    </row>
    <row r="606" spans="1:8" ht="12.75">
      <c r="A606" s="178"/>
      <c r="B606" s="178"/>
      <c r="C606" s="178"/>
      <c r="D606" s="178"/>
      <c r="E606" s="178"/>
      <c r="F606" s="178"/>
      <c r="G606" s="178"/>
      <c r="H606" s="178"/>
    </row>
    <row r="607" spans="1:8" ht="12.75">
      <c r="A607" s="178"/>
      <c r="B607" s="178"/>
      <c r="C607" s="178"/>
      <c r="D607" s="178"/>
      <c r="E607" s="178"/>
      <c r="F607" s="178"/>
      <c r="G607" s="178"/>
      <c r="H607" s="178"/>
    </row>
    <row r="608" spans="1:8" ht="12.75">
      <c r="A608" s="178"/>
      <c r="B608" s="178"/>
      <c r="C608" s="178"/>
      <c r="D608" s="178"/>
      <c r="E608" s="178"/>
      <c r="F608" s="178"/>
      <c r="G608" s="178"/>
      <c r="H608" s="178"/>
    </row>
    <row r="609" spans="1:8" ht="12.75">
      <c r="A609" s="178"/>
      <c r="B609" s="178"/>
      <c r="C609" s="178"/>
      <c r="D609" s="178"/>
      <c r="E609" s="178"/>
      <c r="F609" s="178"/>
      <c r="G609" s="178"/>
      <c r="H609" s="178"/>
    </row>
    <row r="610" spans="1:8" ht="12.75">
      <c r="A610" s="178"/>
      <c r="B610" s="178"/>
      <c r="C610" s="178"/>
      <c r="D610" s="178"/>
      <c r="E610" s="178"/>
      <c r="F610" s="178"/>
      <c r="G610" s="178"/>
      <c r="H610" s="178"/>
    </row>
    <row r="611" spans="1:8" ht="12.75">
      <c r="A611" s="178"/>
      <c r="B611" s="178"/>
      <c r="C611" s="178"/>
      <c r="D611" s="178"/>
      <c r="E611" s="178"/>
      <c r="F611" s="178"/>
      <c r="G611" s="178"/>
      <c r="H611" s="178"/>
    </row>
    <row r="612" spans="1:8" ht="12.75">
      <c r="A612" s="178"/>
      <c r="B612" s="178"/>
      <c r="C612" s="178"/>
      <c r="D612" s="178"/>
      <c r="E612" s="178"/>
      <c r="F612" s="178"/>
      <c r="G612" s="178"/>
      <c r="H612" s="178"/>
    </row>
    <row r="613" spans="1:8" ht="12.75">
      <c r="A613" s="178"/>
      <c r="B613" s="178"/>
      <c r="C613" s="178"/>
      <c r="D613" s="178"/>
      <c r="E613" s="178"/>
      <c r="F613" s="178"/>
      <c r="G613" s="178"/>
      <c r="H613" s="178"/>
    </row>
    <row r="614" spans="1:8" ht="12.75">
      <c r="A614" s="178"/>
      <c r="B614" s="178"/>
      <c r="C614" s="178"/>
      <c r="D614" s="178"/>
      <c r="E614" s="178"/>
      <c r="F614" s="178"/>
      <c r="G614" s="178"/>
      <c r="H614" s="178"/>
    </row>
    <row r="615" spans="1:8" ht="12.75">
      <c r="A615" s="178"/>
      <c r="B615" s="178"/>
      <c r="C615" s="178"/>
      <c r="D615" s="178"/>
      <c r="E615" s="178"/>
      <c r="F615" s="178"/>
      <c r="G615" s="178"/>
      <c r="H615" s="178"/>
    </row>
    <row r="616" spans="1:8" ht="12.75">
      <c r="A616" s="178"/>
      <c r="B616" s="178"/>
      <c r="C616" s="178"/>
      <c r="D616" s="178"/>
      <c r="E616" s="178"/>
      <c r="F616" s="178"/>
      <c r="G616" s="178"/>
      <c r="H616" s="178"/>
    </row>
    <row r="617" spans="1:8" ht="12.75">
      <c r="A617" s="178"/>
      <c r="B617" s="178"/>
      <c r="C617" s="178"/>
      <c r="D617" s="178"/>
      <c r="E617" s="178"/>
      <c r="F617" s="178"/>
      <c r="G617" s="178"/>
      <c r="H617" s="178"/>
    </row>
    <row r="618" spans="1:8" ht="12.75">
      <c r="A618" s="178"/>
      <c r="B618" s="178"/>
      <c r="C618" s="178"/>
      <c r="D618" s="178"/>
      <c r="E618" s="178"/>
      <c r="F618" s="178"/>
      <c r="G618" s="178"/>
      <c r="H618" s="178"/>
    </row>
    <row r="619" spans="1:8" ht="12.75">
      <c r="A619" s="178"/>
      <c r="B619" s="178"/>
      <c r="C619" s="178"/>
      <c r="D619" s="178"/>
      <c r="E619" s="178"/>
      <c r="F619" s="178"/>
      <c r="G619" s="178"/>
      <c r="H619" s="178"/>
    </row>
    <row r="620" spans="1:8" ht="12.75">
      <c r="A620" s="178"/>
      <c r="B620" s="178"/>
      <c r="C620" s="178"/>
      <c r="D620" s="178"/>
      <c r="E620" s="178"/>
      <c r="F620" s="178"/>
      <c r="G620" s="178"/>
      <c r="H620" s="178"/>
    </row>
    <row r="621" spans="1:8" ht="12.75">
      <c r="A621" s="178"/>
      <c r="B621" s="178"/>
      <c r="C621" s="178"/>
      <c r="D621" s="178"/>
      <c r="E621" s="178"/>
      <c r="F621" s="178"/>
      <c r="G621" s="178"/>
      <c r="H621" s="178"/>
    </row>
    <row r="622" spans="1:8" ht="12.75">
      <c r="A622" s="178"/>
      <c r="B622" s="178"/>
      <c r="C622" s="178"/>
      <c r="D622" s="178"/>
      <c r="E622" s="178"/>
      <c r="F622" s="178"/>
      <c r="G622" s="178"/>
      <c r="H622" s="178"/>
    </row>
    <row r="623" spans="1:8" ht="12.75">
      <c r="A623" s="178"/>
      <c r="B623" s="178"/>
      <c r="C623" s="178"/>
      <c r="D623" s="178"/>
      <c r="E623" s="178"/>
      <c r="F623" s="178"/>
      <c r="G623" s="178"/>
      <c r="H623" s="178"/>
    </row>
    <row r="624" spans="1:8" ht="12.75">
      <c r="A624" s="178"/>
      <c r="B624" s="178"/>
      <c r="C624" s="178"/>
      <c r="D624" s="178"/>
      <c r="E624" s="178"/>
      <c r="F624" s="178"/>
      <c r="G624" s="178"/>
      <c r="H624" s="178"/>
    </row>
    <row r="625" spans="1:8" ht="12.75">
      <c r="A625" s="178"/>
      <c r="B625" s="178"/>
      <c r="C625" s="178"/>
      <c r="D625" s="178"/>
      <c r="E625" s="178"/>
      <c r="F625" s="178"/>
      <c r="G625" s="178"/>
      <c r="H625" s="178"/>
    </row>
    <row r="626" spans="1:8" ht="12.75">
      <c r="A626" s="178"/>
      <c r="B626" s="178"/>
      <c r="C626" s="178"/>
      <c r="D626" s="178"/>
      <c r="E626" s="178"/>
      <c r="F626" s="178"/>
      <c r="G626" s="178"/>
      <c r="H626" s="178"/>
    </row>
    <row r="627" spans="1:8" ht="12.75">
      <c r="A627" s="178"/>
      <c r="B627" s="178"/>
      <c r="C627" s="178"/>
      <c r="D627" s="178"/>
      <c r="E627" s="178"/>
      <c r="F627" s="178"/>
      <c r="G627" s="178"/>
      <c r="H627" s="178"/>
    </row>
    <row r="628" spans="1:8" ht="12.75">
      <c r="A628" s="178"/>
      <c r="B628" s="178"/>
      <c r="C628" s="178"/>
      <c r="D628" s="178"/>
      <c r="E628" s="178"/>
      <c r="F628" s="178"/>
      <c r="G628" s="178"/>
      <c r="H628" s="178"/>
    </row>
    <row r="629" spans="1:8" ht="12.75">
      <c r="A629" s="178"/>
      <c r="B629" s="178"/>
      <c r="C629" s="178"/>
      <c r="D629" s="178"/>
      <c r="E629" s="178"/>
      <c r="F629" s="178"/>
      <c r="G629" s="178"/>
      <c r="H629" s="178"/>
    </row>
    <row r="630" spans="1:8" ht="12.75">
      <c r="A630" s="178"/>
      <c r="B630" s="178"/>
      <c r="C630" s="178"/>
      <c r="D630" s="178"/>
      <c r="E630" s="178"/>
      <c r="F630" s="178"/>
      <c r="G630" s="178"/>
      <c r="H630" s="178"/>
    </row>
    <row r="631" spans="1:8" ht="12.75">
      <c r="A631" s="178"/>
      <c r="B631" s="178"/>
      <c r="C631" s="178"/>
      <c r="D631" s="178"/>
      <c r="E631" s="178"/>
      <c r="F631" s="178"/>
      <c r="G631" s="178"/>
      <c r="H631" s="178"/>
    </row>
    <row r="632" spans="1:8" ht="12.75">
      <c r="A632" s="178"/>
      <c r="B632" s="178"/>
      <c r="C632" s="178"/>
      <c r="D632" s="178"/>
      <c r="E632" s="178"/>
      <c r="F632" s="178"/>
      <c r="G632" s="178"/>
      <c r="H632" s="178"/>
    </row>
    <row r="633" spans="1:8" ht="12.75">
      <c r="A633" s="178"/>
      <c r="B633" s="178"/>
      <c r="C633" s="178"/>
      <c r="D633" s="178"/>
      <c r="E633" s="178"/>
      <c r="F633" s="178"/>
      <c r="G633" s="178"/>
      <c r="H633" s="178"/>
    </row>
    <row r="634" spans="1:8" ht="12.75">
      <c r="A634" s="178"/>
      <c r="B634" s="178"/>
      <c r="C634" s="178"/>
      <c r="D634" s="178"/>
      <c r="E634" s="178"/>
      <c r="F634" s="178"/>
      <c r="G634" s="178"/>
      <c r="H634" s="178"/>
    </row>
    <row r="635" spans="1:8" ht="12.75">
      <c r="A635" s="178"/>
      <c r="B635" s="178"/>
      <c r="C635" s="178"/>
      <c r="D635" s="178"/>
      <c r="E635" s="178"/>
      <c r="F635" s="178"/>
      <c r="G635" s="178"/>
      <c r="H635" s="178"/>
    </row>
    <row r="636" spans="1:8" ht="12.75">
      <c r="A636" s="178"/>
      <c r="B636" s="178"/>
      <c r="C636" s="178"/>
      <c r="D636" s="178"/>
      <c r="E636" s="178"/>
      <c r="F636" s="178"/>
      <c r="G636" s="178"/>
      <c r="H636" s="178"/>
    </row>
    <row r="637" spans="1:8" ht="12.75">
      <c r="A637" s="178"/>
      <c r="B637" s="178"/>
      <c r="C637" s="178"/>
      <c r="D637" s="178"/>
      <c r="E637" s="178"/>
      <c r="F637" s="178"/>
      <c r="G637" s="178"/>
      <c r="H637" s="178"/>
    </row>
    <row r="638" spans="1:8" ht="12.75">
      <c r="A638" s="178"/>
      <c r="B638" s="178"/>
      <c r="C638" s="178"/>
      <c r="D638" s="178"/>
      <c r="E638" s="178"/>
      <c r="F638" s="178"/>
      <c r="G638" s="178"/>
      <c r="H638" s="178"/>
    </row>
    <row r="639" spans="1:8" ht="12.75">
      <c r="A639" s="178"/>
      <c r="B639" s="178"/>
      <c r="C639" s="178"/>
      <c r="D639" s="178"/>
      <c r="E639" s="178"/>
      <c r="F639" s="178"/>
      <c r="G639" s="178"/>
      <c r="H639" s="178"/>
    </row>
    <row r="640" spans="1:8" ht="12.75">
      <c r="A640" s="178"/>
      <c r="B640" s="178"/>
      <c r="C640" s="178"/>
      <c r="D640" s="178"/>
      <c r="E640" s="178"/>
      <c r="F640" s="178"/>
      <c r="G640" s="178"/>
      <c r="H640" s="178"/>
    </row>
    <row r="641" spans="1:8" ht="12.75">
      <c r="A641" s="178"/>
      <c r="B641" s="178"/>
      <c r="C641" s="178"/>
      <c r="D641" s="178"/>
      <c r="E641" s="178"/>
      <c r="F641" s="178"/>
      <c r="G641" s="178"/>
      <c r="H641" s="178"/>
    </row>
    <row r="642" spans="1:8" ht="12.75">
      <c r="A642" s="178"/>
      <c r="B642" s="178"/>
      <c r="C642" s="178"/>
      <c r="D642" s="178"/>
      <c r="E642" s="178"/>
      <c r="F642" s="178"/>
      <c r="G642" s="178"/>
      <c r="H642" s="178"/>
    </row>
    <row r="643" spans="1:8" ht="12.75">
      <c r="A643" s="178"/>
      <c r="B643" s="178"/>
      <c r="C643" s="178"/>
      <c r="D643" s="178"/>
      <c r="E643" s="178"/>
      <c r="F643" s="178"/>
      <c r="G643" s="178"/>
      <c r="H643" s="178"/>
    </row>
    <row r="644" spans="1:8" ht="12.75">
      <c r="A644" s="178"/>
      <c r="B644" s="178"/>
      <c r="C644" s="178"/>
      <c r="D644" s="178"/>
      <c r="E644" s="178"/>
      <c r="F644" s="178"/>
      <c r="G644" s="178"/>
      <c r="H644" s="178"/>
    </row>
    <row r="645" spans="1:8" ht="12.75">
      <c r="A645" s="178"/>
      <c r="B645" s="178"/>
      <c r="C645" s="178"/>
      <c r="D645" s="178"/>
      <c r="E645" s="178"/>
      <c r="F645" s="178"/>
      <c r="G645" s="178"/>
      <c r="H645" s="178"/>
    </row>
    <row r="646" spans="1:8" ht="12.75">
      <c r="A646" s="178"/>
      <c r="B646" s="178"/>
      <c r="C646" s="178"/>
      <c r="D646" s="178"/>
      <c r="E646" s="178"/>
      <c r="F646" s="178"/>
      <c r="G646" s="178"/>
      <c r="H646" s="178"/>
    </row>
    <row r="647" spans="1:8" ht="12.75">
      <c r="A647" s="178"/>
      <c r="B647" s="178"/>
      <c r="C647" s="178"/>
      <c r="D647" s="178"/>
      <c r="E647" s="178"/>
      <c r="F647" s="178"/>
      <c r="G647" s="178"/>
      <c r="H647" s="178"/>
    </row>
    <row r="648" spans="1:8" ht="12.75">
      <c r="A648" s="178"/>
      <c r="B648" s="178"/>
      <c r="C648" s="178"/>
      <c r="D648" s="178"/>
      <c r="E648" s="178"/>
      <c r="F648" s="178"/>
      <c r="G648" s="178"/>
      <c r="H648" s="178"/>
    </row>
    <row r="649" spans="1:8" ht="12.75">
      <c r="A649" s="178"/>
      <c r="B649" s="178"/>
      <c r="C649" s="178"/>
      <c r="D649" s="178"/>
      <c r="E649" s="178"/>
      <c r="F649" s="178"/>
      <c r="G649" s="178"/>
      <c r="H649" s="178"/>
    </row>
    <row r="650" spans="1:8" ht="12.75">
      <c r="A650" s="178"/>
      <c r="B650" s="178"/>
      <c r="C650" s="178"/>
      <c r="D650" s="178"/>
      <c r="E650" s="178"/>
      <c r="F650" s="178"/>
      <c r="G650" s="178"/>
      <c r="H650" s="178"/>
    </row>
    <row r="651" spans="1:8" ht="12.75">
      <c r="A651" s="178"/>
      <c r="B651" s="178"/>
      <c r="C651" s="178"/>
      <c r="D651" s="178"/>
      <c r="E651" s="178"/>
      <c r="F651" s="178"/>
      <c r="G651" s="178"/>
      <c r="H651" s="178"/>
    </row>
    <row r="652" spans="1:8" ht="12.75">
      <c r="A652" s="178"/>
      <c r="B652" s="178"/>
      <c r="C652" s="178"/>
      <c r="D652" s="178"/>
      <c r="E652" s="178"/>
      <c r="F652" s="178"/>
      <c r="G652" s="178"/>
      <c r="H652" s="178"/>
    </row>
    <row r="653" spans="1:8" ht="12.75">
      <c r="A653" s="178"/>
      <c r="B653" s="178"/>
      <c r="C653" s="178"/>
      <c r="D653" s="178"/>
      <c r="E653" s="178"/>
      <c r="F653" s="178"/>
      <c r="G653" s="178"/>
      <c r="H653" s="178"/>
    </row>
    <row r="654" spans="1:8" ht="12.75">
      <c r="A654" s="178"/>
      <c r="B654" s="178"/>
      <c r="C654" s="178"/>
      <c r="D654" s="178"/>
      <c r="E654" s="178"/>
      <c r="F654" s="178"/>
      <c r="G654" s="178"/>
      <c r="H654" s="178"/>
    </row>
    <row r="655" spans="1:8" ht="12.75">
      <c r="A655" s="178"/>
      <c r="B655" s="178"/>
      <c r="C655" s="178"/>
      <c r="D655" s="178"/>
      <c r="E655" s="178"/>
      <c r="F655" s="178"/>
      <c r="G655" s="178"/>
      <c r="H655" s="178"/>
    </row>
    <row r="656" spans="1:8" ht="12.75">
      <c r="A656" s="178"/>
      <c r="B656" s="178"/>
      <c r="C656" s="178"/>
      <c r="D656" s="178"/>
      <c r="E656" s="178"/>
      <c r="F656" s="178"/>
      <c r="G656" s="178"/>
      <c r="H656" s="178"/>
    </row>
    <row r="657" spans="1:8" ht="12.75">
      <c r="A657" s="178"/>
      <c r="B657" s="178"/>
      <c r="C657" s="178"/>
      <c r="D657" s="178"/>
      <c r="E657" s="178"/>
      <c r="F657" s="178"/>
      <c r="G657" s="178"/>
      <c r="H657" s="178"/>
    </row>
    <row r="658" spans="1:8" ht="12.75">
      <c r="A658" s="178"/>
      <c r="B658" s="178"/>
      <c r="C658" s="178"/>
      <c r="D658" s="178"/>
      <c r="E658" s="178"/>
      <c r="F658" s="178"/>
      <c r="G658" s="178"/>
      <c r="H658" s="178"/>
    </row>
    <row r="659" spans="1:8" ht="12.75">
      <c r="A659" s="178"/>
      <c r="B659" s="178"/>
      <c r="C659" s="178"/>
      <c r="D659" s="178"/>
      <c r="E659" s="178"/>
      <c r="F659" s="178"/>
      <c r="G659" s="178"/>
      <c r="H659" s="178"/>
    </row>
    <row r="660" spans="1:8" ht="12.75">
      <c r="A660" s="178"/>
      <c r="B660" s="178"/>
      <c r="C660" s="178"/>
      <c r="D660" s="178"/>
      <c r="E660" s="178"/>
      <c r="F660" s="178"/>
      <c r="G660" s="178"/>
      <c r="H660" s="178"/>
    </row>
    <row r="661" spans="1:8" ht="12.75">
      <c r="A661" s="178"/>
      <c r="B661" s="178"/>
      <c r="C661" s="178"/>
      <c r="D661" s="178"/>
      <c r="E661" s="178"/>
      <c r="F661" s="178"/>
      <c r="G661" s="178"/>
      <c r="H661" s="178"/>
    </row>
    <row r="662" spans="1:8" ht="12.75">
      <c r="A662" s="178"/>
      <c r="B662" s="178"/>
      <c r="C662" s="178"/>
      <c r="D662" s="178"/>
      <c r="E662" s="178"/>
      <c r="F662" s="178"/>
      <c r="G662" s="178"/>
      <c r="H662" s="178"/>
    </row>
    <row r="663" spans="1:8" ht="12.75">
      <c r="A663" s="178"/>
      <c r="B663" s="178"/>
      <c r="C663" s="178"/>
      <c r="D663" s="178"/>
      <c r="E663" s="178"/>
      <c r="F663" s="178"/>
      <c r="G663" s="178"/>
      <c r="H663" s="178"/>
    </row>
    <row r="664" spans="1:8" ht="12.75">
      <c r="A664" s="178"/>
      <c r="B664" s="178"/>
      <c r="C664" s="178"/>
      <c r="D664" s="178"/>
      <c r="E664" s="178"/>
      <c r="F664" s="178"/>
      <c r="G664" s="178"/>
      <c r="H664" s="178"/>
    </row>
    <row r="665" spans="1:8" ht="12.75">
      <c r="A665" s="178"/>
      <c r="B665" s="178"/>
      <c r="C665" s="178"/>
      <c r="D665" s="178"/>
      <c r="E665" s="178"/>
      <c r="F665" s="178"/>
      <c r="G665" s="178"/>
      <c r="H665" s="178"/>
    </row>
    <row r="666" spans="1:8" ht="12.75">
      <c r="A666" s="178"/>
      <c r="B666" s="178"/>
      <c r="C666" s="178"/>
      <c r="D666" s="178"/>
      <c r="E666" s="178"/>
      <c r="F666" s="178"/>
      <c r="G666" s="178"/>
      <c r="H666" s="178"/>
    </row>
    <row r="667" spans="1:8" ht="12.75">
      <c r="A667" s="178"/>
      <c r="B667" s="178"/>
      <c r="C667" s="178"/>
      <c r="D667" s="178"/>
      <c r="E667" s="178"/>
      <c r="F667" s="178"/>
      <c r="G667" s="178"/>
      <c r="H667" s="178"/>
    </row>
    <row r="668" spans="1:8" ht="12.75">
      <c r="A668" s="178"/>
      <c r="B668" s="178"/>
      <c r="C668" s="178"/>
      <c r="D668" s="178"/>
      <c r="E668" s="178"/>
      <c r="F668" s="178"/>
      <c r="G668" s="178"/>
      <c r="H668" s="178"/>
    </row>
    <row r="669" spans="1:8" ht="12.75">
      <c r="A669" s="178"/>
      <c r="B669" s="178"/>
      <c r="C669" s="178"/>
      <c r="D669" s="178"/>
      <c r="E669" s="178"/>
      <c r="F669" s="178"/>
      <c r="G669" s="178"/>
      <c r="H669" s="178"/>
    </row>
    <row r="670" spans="1:8" ht="12.75">
      <c r="A670" s="178"/>
      <c r="B670" s="178"/>
      <c r="C670" s="178"/>
      <c r="D670" s="178"/>
      <c r="E670" s="178"/>
      <c r="F670" s="178"/>
      <c r="G670" s="178"/>
      <c r="H670" s="178"/>
    </row>
    <row r="671" spans="1:8" ht="12.75">
      <c r="A671" s="178"/>
      <c r="B671" s="178"/>
      <c r="C671" s="178"/>
      <c r="D671" s="178"/>
      <c r="E671" s="178"/>
      <c r="F671" s="178"/>
      <c r="G671" s="178"/>
      <c r="H671" s="178"/>
    </row>
    <row r="672" spans="1:8" ht="12.75">
      <c r="A672" s="178"/>
      <c r="B672" s="178"/>
      <c r="C672" s="178"/>
      <c r="D672" s="178"/>
      <c r="E672" s="178"/>
      <c r="F672" s="178"/>
      <c r="G672" s="178"/>
      <c r="H672" s="178"/>
    </row>
    <row r="673" spans="1:8" ht="12.75">
      <c r="A673" s="178"/>
      <c r="B673" s="178"/>
      <c r="C673" s="178"/>
      <c r="D673" s="178"/>
      <c r="E673" s="178"/>
      <c r="F673" s="178"/>
      <c r="G673" s="178"/>
      <c r="H673" s="178"/>
    </row>
    <row r="674" spans="1:8" ht="12.75">
      <c r="A674" s="178"/>
      <c r="B674" s="178"/>
      <c r="C674" s="178"/>
      <c r="D674" s="178"/>
      <c r="E674" s="178"/>
      <c r="F674" s="178"/>
      <c r="G674" s="178"/>
      <c r="H674" s="178"/>
    </row>
    <row r="675" spans="1:8" ht="12.75">
      <c r="A675" s="178"/>
      <c r="B675" s="178"/>
      <c r="C675" s="178"/>
      <c r="D675" s="178"/>
      <c r="E675" s="178"/>
      <c r="F675" s="178"/>
      <c r="G675" s="178"/>
      <c r="H675" s="178"/>
    </row>
    <row r="676" spans="1:8" ht="12.75">
      <c r="A676" s="178"/>
      <c r="B676" s="178"/>
      <c r="C676" s="178"/>
      <c r="D676" s="178"/>
      <c r="E676" s="178"/>
      <c r="F676" s="178"/>
      <c r="G676" s="178"/>
      <c r="H676" s="178"/>
    </row>
    <row r="677" spans="1:8" ht="12.75">
      <c r="A677" s="178"/>
      <c r="B677" s="178"/>
      <c r="C677" s="178"/>
      <c r="D677" s="178"/>
      <c r="E677" s="178"/>
      <c r="F677" s="178"/>
      <c r="G677" s="178"/>
      <c r="H677" s="178"/>
    </row>
    <row r="678" spans="1:8" ht="12.75">
      <c r="A678" s="178"/>
      <c r="B678" s="178"/>
      <c r="C678" s="178"/>
      <c r="D678" s="178"/>
      <c r="E678" s="178"/>
      <c r="F678" s="178"/>
      <c r="G678" s="178"/>
      <c r="H678" s="178"/>
    </row>
    <row r="679" spans="1:8" ht="12.75">
      <c r="A679" s="178"/>
      <c r="B679" s="178"/>
      <c r="C679" s="178"/>
      <c r="D679" s="178"/>
      <c r="E679" s="178"/>
      <c r="F679" s="178"/>
      <c r="G679" s="178"/>
      <c r="H679" s="178"/>
    </row>
    <row r="680" spans="1:8" ht="12.75">
      <c r="A680" s="178"/>
      <c r="B680" s="178"/>
      <c r="C680" s="178"/>
      <c r="D680" s="178"/>
      <c r="E680" s="178"/>
      <c r="F680" s="178"/>
      <c r="G680" s="178"/>
      <c r="H680" s="178"/>
    </row>
    <row r="681" spans="1:8" ht="12.75">
      <c r="A681" s="178"/>
      <c r="B681" s="178"/>
      <c r="C681" s="178"/>
      <c r="D681" s="178"/>
      <c r="E681" s="178"/>
      <c r="F681" s="178"/>
      <c r="G681" s="178"/>
      <c r="H681" s="178"/>
    </row>
    <row r="682" spans="1:8" ht="12.75">
      <c r="A682" s="178"/>
      <c r="B682" s="178"/>
      <c r="C682" s="178"/>
      <c r="D682" s="178"/>
      <c r="E682" s="178"/>
      <c r="F682" s="178"/>
      <c r="G682" s="178"/>
      <c r="H682" s="178"/>
    </row>
    <row r="683" spans="1:8" ht="12.75">
      <c r="A683" s="178"/>
      <c r="B683" s="178"/>
      <c r="C683" s="178"/>
      <c r="D683" s="178"/>
      <c r="E683" s="178"/>
      <c r="F683" s="178"/>
      <c r="G683" s="178"/>
      <c r="H683" s="178"/>
    </row>
    <row r="684" spans="1:8" ht="12.75">
      <c r="A684" s="178"/>
      <c r="B684" s="178"/>
      <c r="C684" s="178"/>
      <c r="D684" s="178"/>
      <c r="E684" s="178"/>
      <c r="F684" s="178"/>
      <c r="G684" s="178"/>
      <c r="H684" s="178"/>
    </row>
    <row r="685" spans="1:8" ht="12.75">
      <c r="A685" s="178"/>
      <c r="B685" s="178"/>
      <c r="C685" s="178"/>
      <c r="D685" s="178"/>
      <c r="E685" s="178"/>
      <c r="F685" s="178"/>
      <c r="G685" s="178"/>
      <c r="H685" s="178"/>
    </row>
    <row r="686" spans="1:8" ht="12.75">
      <c r="A686" s="178"/>
      <c r="B686" s="178"/>
      <c r="C686" s="178"/>
      <c r="D686" s="178"/>
      <c r="E686" s="178"/>
      <c r="F686" s="178"/>
      <c r="G686" s="178"/>
      <c r="H686" s="178"/>
    </row>
    <row r="687" spans="1:8" ht="12.75">
      <c r="A687" s="178"/>
      <c r="B687" s="178"/>
      <c r="C687" s="178"/>
      <c r="D687" s="178"/>
      <c r="E687" s="178"/>
      <c r="F687" s="178"/>
      <c r="G687" s="178"/>
      <c r="H687" s="178"/>
    </row>
    <row r="688" spans="1:8" ht="12.75">
      <c r="A688" s="178"/>
      <c r="B688" s="178"/>
      <c r="C688" s="178"/>
      <c r="D688" s="178"/>
      <c r="E688" s="178"/>
      <c r="F688" s="178"/>
      <c r="G688" s="178"/>
      <c r="H688" s="178"/>
    </row>
    <row r="689" spans="1:8" ht="12.75">
      <c r="A689" s="178"/>
      <c r="B689" s="178"/>
      <c r="C689" s="178"/>
      <c r="D689" s="178"/>
      <c r="E689" s="178"/>
      <c r="F689" s="178"/>
      <c r="G689" s="178"/>
      <c r="H689" s="178"/>
    </row>
    <row r="690" spans="1:8" ht="12.75">
      <c r="A690" s="178"/>
      <c r="B690" s="178"/>
      <c r="C690" s="178"/>
      <c r="D690" s="178"/>
      <c r="E690" s="178"/>
      <c r="F690" s="178"/>
      <c r="G690" s="178"/>
      <c r="H690" s="178"/>
    </row>
    <row r="691" spans="1:8" ht="12.75">
      <c r="A691" s="178"/>
      <c r="B691" s="178"/>
      <c r="C691" s="178"/>
      <c r="D691" s="178"/>
      <c r="E691" s="178"/>
      <c r="F691" s="178"/>
      <c r="G691" s="178"/>
      <c r="H691" s="178"/>
    </row>
    <row r="692" spans="1:8" ht="12.75">
      <c r="A692" s="178"/>
      <c r="B692" s="178"/>
      <c r="C692" s="178"/>
      <c r="D692" s="178"/>
      <c r="E692" s="178"/>
      <c r="F692" s="178"/>
      <c r="G692" s="178"/>
      <c r="H692" s="178"/>
    </row>
    <row r="693" spans="1:8" ht="12.75">
      <c r="A693" s="178"/>
      <c r="B693" s="178"/>
      <c r="C693" s="178"/>
      <c r="D693" s="178"/>
      <c r="E693" s="178"/>
      <c r="F693" s="178"/>
      <c r="G693" s="178"/>
      <c r="H693" s="178"/>
    </row>
    <row r="694" spans="1:8" ht="12.75">
      <c r="A694" s="178"/>
      <c r="B694" s="178"/>
      <c r="C694" s="178"/>
      <c r="D694" s="178"/>
      <c r="E694" s="178"/>
      <c r="F694" s="178"/>
      <c r="G694" s="178"/>
      <c r="H694" s="178"/>
    </row>
    <row r="695" spans="1:8" ht="12.75">
      <c r="A695" s="178"/>
      <c r="B695" s="178"/>
      <c r="C695" s="178"/>
      <c r="D695" s="178"/>
      <c r="E695" s="178"/>
      <c r="F695" s="178"/>
      <c r="G695" s="178"/>
      <c r="H695" s="178"/>
    </row>
    <row r="696" spans="1:8" ht="12.75">
      <c r="A696" s="178"/>
      <c r="B696" s="178"/>
      <c r="C696" s="178"/>
      <c r="D696" s="178"/>
      <c r="E696" s="178"/>
      <c r="F696" s="178"/>
      <c r="G696" s="178"/>
      <c r="H696" s="178"/>
    </row>
    <row r="697" spans="1:8" ht="12.75">
      <c r="A697" s="178"/>
      <c r="B697" s="178"/>
      <c r="C697" s="178"/>
      <c r="D697" s="178"/>
      <c r="E697" s="178"/>
      <c r="F697" s="178"/>
      <c r="G697" s="178"/>
      <c r="H697" s="178"/>
    </row>
    <row r="698" spans="1:8" ht="12.75">
      <c r="A698" s="178"/>
      <c r="B698" s="178"/>
      <c r="C698" s="178"/>
      <c r="D698" s="178"/>
      <c r="E698" s="178"/>
      <c r="F698" s="178"/>
      <c r="G698" s="178"/>
      <c r="H698" s="178"/>
    </row>
    <row r="699" spans="1:8" ht="12.75">
      <c r="A699" s="178"/>
      <c r="B699" s="178"/>
      <c r="C699" s="178"/>
      <c r="D699" s="178"/>
      <c r="E699" s="178"/>
      <c r="F699" s="178"/>
      <c r="G699" s="178"/>
      <c r="H699" s="178"/>
    </row>
    <row r="700" spans="1:8" ht="12.75">
      <c r="A700" s="178"/>
      <c r="B700" s="178"/>
      <c r="C700" s="178"/>
      <c r="D700" s="178"/>
      <c r="E700" s="178"/>
      <c r="F700" s="178"/>
      <c r="G700" s="178"/>
      <c r="H700" s="178"/>
    </row>
    <row r="701" spans="1:8" ht="12.75">
      <c r="A701" s="178"/>
      <c r="B701" s="178"/>
      <c r="C701" s="178"/>
      <c r="D701" s="178"/>
      <c r="E701" s="178"/>
      <c r="F701" s="178"/>
      <c r="G701" s="178"/>
      <c r="H701" s="178"/>
    </row>
    <row r="702" spans="1:8" ht="12.75">
      <c r="A702" s="178"/>
      <c r="B702" s="178"/>
      <c r="C702" s="178"/>
      <c r="D702" s="178"/>
      <c r="E702" s="178"/>
      <c r="F702" s="178"/>
      <c r="G702" s="178"/>
      <c r="H702" s="178"/>
    </row>
    <row r="703" spans="1:8" ht="12.75">
      <c r="A703" s="178"/>
      <c r="B703" s="178"/>
      <c r="C703" s="178"/>
      <c r="D703" s="178"/>
      <c r="E703" s="178"/>
      <c r="F703" s="178"/>
      <c r="G703" s="178"/>
      <c r="H703" s="178"/>
    </row>
    <row r="704" spans="1:8" ht="12.75">
      <c r="A704" s="178"/>
      <c r="B704" s="178"/>
      <c r="C704" s="178"/>
      <c r="D704" s="178"/>
      <c r="E704" s="178"/>
      <c r="F704" s="178"/>
      <c r="G704" s="178"/>
      <c r="H704" s="178"/>
    </row>
    <row r="705" spans="1:8" ht="12.75">
      <c r="A705" s="178"/>
      <c r="B705" s="178"/>
      <c r="C705" s="178"/>
      <c r="D705" s="178"/>
      <c r="E705" s="178"/>
      <c r="F705" s="178"/>
      <c r="G705" s="178"/>
      <c r="H705" s="178"/>
    </row>
    <row r="706" spans="1:8" ht="12.75">
      <c r="A706" s="178"/>
      <c r="B706" s="178"/>
      <c r="C706" s="178"/>
      <c r="D706" s="178"/>
      <c r="E706" s="178"/>
      <c r="F706" s="178"/>
      <c r="G706" s="178"/>
      <c r="H706" s="178"/>
    </row>
    <row r="707" spans="1:8" ht="12.75">
      <c r="A707" s="178"/>
      <c r="B707" s="178"/>
      <c r="C707" s="178"/>
      <c r="D707" s="178"/>
      <c r="E707" s="178"/>
      <c r="F707" s="178"/>
      <c r="G707" s="178"/>
      <c r="H707" s="178"/>
    </row>
    <row r="708" spans="1:8" ht="12.75">
      <c r="A708" s="178"/>
      <c r="B708" s="178"/>
      <c r="C708" s="178"/>
      <c r="D708" s="178"/>
      <c r="E708" s="178"/>
      <c r="F708" s="178"/>
      <c r="G708" s="178"/>
      <c r="H708" s="178"/>
    </row>
    <row r="709" spans="1:8" ht="12.75">
      <c r="A709" s="178"/>
      <c r="B709" s="178"/>
      <c r="C709" s="178"/>
      <c r="D709" s="178"/>
      <c r="E709" s="178"/>
      <c r="F709" s="178"/>
      <c r="G709" s="178"/>
      <c r="H709" s="178"/>
    </row>
    <row r="710" spans="1:8" ht="12.75">
      <c r="A710" s="178"/>
      <c r="B710" s="178"/>
      <c r="C710" s="178"/>
      <c r="D710" s="178"/>
      <c r="E710" s="178"/>
      <c r="F710" s="178"/>
      <c r="G710" s="178"/>
      <c r="H710" s="178"/>
    </row>
    <row r="711" spans="1:8" ht="12.75">
      <c r="A711" s="178"/>
      <c r="B711" s="178"/>
      <c r="C711" s="178"/>
      <c r="D711" s="178"/>
      <c r="E711" s="178"/>
      <c r="F711" s="178"/>
      <c r="G711" s="178"/>
      <c r="H711" s="178"/>
    </row>
    <row r="712" spans="1:8" ht="12.75">
      <c r="A712" s="178"/>
      <c r="B712" s="178"/>
      <c r="C712" s="178"/>
      <c r="D712" s="178"/>
      <c r="E712" s="178"/>
      <c r="F712" s="178"/>
      <c r="G712" s="178"/>
      <c r="H712" s="178"/>
    </row>
    <row r="713" spans="1:8" ht="12.75">
      <c r="A713" s="178"/>
      <c r="B713" s="178"/>
      <c r="C713" s="178"/>
      <c r="D713" s="178"/>
      <c r="E713" s="178"/>
      <c r="F713" s="178"/>
      <c r="G713" s="178"/>
      <c r="H713" s="178"/>
    </row>
    <row r="714" spans="1:8" ht="12.75">
      <c r="A714" s="178"/>
      <c r="B714" s="178"/>
      <c r="C714" s="178"/>
      <c r="D714" s="178"/>
      <c r="E714" s="178"/>
      <c r="F714" s="178"/>
      <c r="G714" s="178"/>
      <c r="H714" s="178"/>
    </row>
    <row r="715" spans="1:8" ht="12.75">
      <c r="A715" s="178"/>
      <c r="B715" s="178"/>
      <c r="C715" s="178"/>
      <c r="D715" s="178"/>
      <c r="E715" s="178"/>
      <c r="F715" s="178"/>
      <c r="G715" s="178"/>
      <c r="H715" s="178"/>
    </row>
    <row r="716" spans="1:8" ht="12.75">
      <c r="A716" s="178"/>
      <c r="B716" s="178"/>
      <c r="C716" s="178"/>
      <c r="D716" s="178"/>
      <c r="E716" s="178"/>
      <c r="F716" s="178"/>
      <c r="G716" s="178"/>
      <c r="H716" s="178"/>
    </row>
    <row r="717" spans="1:8" ht="12.75">
      <c r="A717" s="178"/>
      <c r="B717" s="178"/>
      <c r="C717" s="178"/>
      <c r="D717" s="178"/>
      <c r="E717" s="178"/>
      <c r="F717" s="178"/>
      <c r="G717" s="178"/>
      <c r="H717" s="178"/>
    </row>
    <row r="718" spans="1:8" ht="12.75">
      <c r="A718" s="178"/>
      <c r="B718" s="178"/>
      <c r="C718" s="178"/>
      <c r="D718" s="178"/>
      <c r="E718" s="178"/>
      <c r="F718" s="178"/>
      <c r="G718" s="178"/>
      <c r="H718" s="178"/>
    </row>
    <row r="719" spans="1:8" ht="12.75">
      <c r="A719" s="178"/>
      <c r="B719" s="178"/>
      <c r="C719" s="178"/>
      <c r="D719" s="178"/>
      <c r="E719" s="178"/>
      <c r="F719" s="178"/>
      <c r="G719" s="178"/>
      <c r="H719" s="178"/>
    </row>
    <row r="720" spans="1:8" ht="12.75">
      <c r="A720" s="178"/>
      <c r="B720" s="178"/>
      <c r="C720" s="178"/>
      <c r="D720" s="178"/>
      <c r="E720" s="178"/>
      <c r="F720" s="178"/>
      <c r="G720" s="178"/>
      <c r="H720" s="178"/>
    </row>
    <row r="721" spans="1:8" ht="12.75">
      <c r="A721" s="178"/>
      <c r="B721" s="178"/>
      <c r="C721" s="178"/>
      <c r="D721" s="178"/>
      <c r="E721" s="178"/>
      <c r="F721" s="178"/>
      <c r="G721" s="178"/>
      <c r="H721" s="178"/>
    </row>
    <row r="722" spans="1:8" ht="12.75">
      <c r="A722" s="178"/>
      <c r="B722" s="178"/>
      <c r="C722" s="178"/>
      <c r="D722" s="178"/>
      <c r="E722" s="178"/>
      <c r="F722" s="178"/>
      <c r="G722" s="178"/>
      <c r="H722" s="178"/>
    </row>
    <row r="723" spans="1:8" ht="12.75">
      <c r="A723" s="178"/>
      <c r="B723" s="178"/>
      <c r="C723" s="178"/>
      <c r="D723" s="178"/>
      <c r="E723" s="178"/>
      <c r="F723" s="178"/>
      <c r="G723" s="178"/>
      <c r="H723" s="178"/>
    </row>
    <row r="724" spans="1:8" ht="12.75">
      <c r="A724" s="178"/>
      <c r="B724" s="178"/>
      <c r="C724" s="178"/>
      <c r="D724" s="178"/>
      <c r="E724" s="178"/>
      <c r="F724" s="178"/>
      <c r="G724" s="178"/>
      <c r="H724" s="178"/>
    </row>
    <row r="725" spans="1:8" ht="12.75">
      <c r="A725" s="178"/>
      <c r="B725" s="178"/>
      <c r="C725" s="178"/>
      <c r="D725" s="178"/>
      <c r="E725" s="178"/>
      <c r="F725" s="178"/>
      <c r="G725" s="178"/>
      <c r="H725" s="178"/>
    </row>
    <row r="726" spans="1:8" ht="12.75">
      <c r="A726" s="178"/>
      <c r="B726" s="178"/>
      <c r="C726" s="178"/>
      <c r="D726" s="178"/>
      <c r="E726" s="178"/>
      <c r="F726" s="178"/>
      <c r="G726" s="178"/>
      <c r="H726" s="178"/>
    </row>
    <row r="727" spans="1:8" ht="12.75">
      <c r="A727" s="178"/>
      <c r="B727" s="178"/>
      <c r="C727" s="178"/>
      <c r="D727" s="178"/>
      <c r="E727" s="178"/>
      <c r="F727" s="178"/>
      <c r="G727" s="178"/>
      <c r="H727" s="178"/>
    </row>
    <row r="728" spans="1:8" ht="12.75">
      <c r="A728" s="178"/>
      <c r="B728" s="178"/>
      <c r="C728" s="178"/>
      <c r="D728" s="178"/>
      <c r="E728" s="178"/>
      <c r="F728" s="178"/>
      <c r="G728" s="178"/>
      <c r="H728" s="178"/>
    </row>
    <row r="729" spans="1:8" ht="12.75">
      <c r="A729" s="178"/>
      <c r="B729" s="178"/>
      <c r="C729" s="178"/>
      <c r="D729" s="178"/>
      <c r="E729" s="178"/>
      <c r="F729" s="178"/>
      <c r="G729" s="178"/>
      <c r="H729" s="178"/>
    </row>
    <row r="730" spans="1:8" ht="12.75">
      <c r="A730" s="178"/>
      <c r="B730" s="178"/>
      <c r="C730" s="178"/>
      <c r="D730" s="178"/>
      <c r="E730" s="178"/>
      <c r="F730" s="178"/>
      <c r="G730" s="178"/>
      <c r="H730" s="178"/>
    </row>
    <row r="731" spans="1:8" ht="12.75">
      <c r="A731" s="178"/>
      <c r="B731" s="178"/>
      <c r="C731" s="178"/>
      <c r="D731" s="178"/>
      <c r="E731" s="178"/>
      <c r="F731" s="178"/>
      <c r="G731" s="178"/>
      <c r="H731" s="178"/>
    </row>
    <row r="732" spans="1:8" ht="12.75">
      <c r="A732" s="178"/>
      <c r="B732" s="178"/>
      <c r="C732" s="178"/>
      <c r="D732" s="178"/>
      <c r="E732" s="178"/>
      <c r="F732" s="178"/>
      <c r="G732" s="178"/>
      <c r="H732" s="178"/>
    </row>
    <row r="733" spans="1:8" ht="12.75">
      <c r="A733" s="178"/>
      <c r="B733" s="178"/>
      <c r="C733" s="178"/>
      <c r="D733" s="178"/>
      <c r="E733" s="178"/>
      <c r="F733" s="178"/>
      <c r="G733" s="178"/>
      <c r="H733" s="178"/>
    </row>
    <row r="734" spans="1:8" ht="12.75">
      <c r="A734" s="178"/>
      <c r="B734" s="178"/>
      <c r="C734" s="178"/>
      <c r="D734" s="178"/>
      <c r="E734" s="178"/>
      <c r="F734" s="178"/>
      <c r="G734" s="178"/>
      <c r="H734" s="178"/>
    </row>
    <row r="735" spans="1:8" ht="12.75">
      <c r="A735" s="178"/>
      <c r="B735" s="178"/>
      <c r="C735" s="178"/>
      <c r="D735" s="178"/>
      <c r="E735" s="178"/>
      <c r="F735" s="178"/>
      <c r="G735" s="178"/>
      <c r="H735" s="178"/>
    </row>
    <row r="736" spans="1:8" ht="12.75">
      <c r="A736" s="178"/>
      <c r="B736" s="178"/>
      <c r="C736" s="178"/>
      <c r="D736" s="178"/>
      <c r="E736" s="178"/>
      <c r="F736" s="178"/>
      <c r="G736" s="178"/>
      <c r="H736" s="178"/>
    </row>
    <row r="737" spans="1:8" ht="12.75">
      <c r="A737" s="178"/>
      <c r="B737" s="178"/>
      <c r="C737" s="178"/>
      <c r="D737" s="178"/>
      <c r="E737" s="178"/>
      <c r="F737" s="178"/>
      <c r="G737" s="178"/>
      <c r="H737" s="178"/>
    </row>
    <row r="738" spans="1:8" ht="12.75">
      <c r="A738" s="178"/>
      <c r="B738" s="178"/>
      <c r="C738" s="178"/>
      <c r="D738" s="178"/>
      <c r="E738" s="178"/>
      <c r="F738" s="178"/>
      <c r="G738" s="178"/>
      <c r="H738" s="178"/>
    </row>
    <row r="739" spans="1:8" ht="12.75">
      <c r="A739" s="178"/>
      <c r="B739" s="178"/>
      <c r="C739" s="178"/>
      <c r="D739" s="178"/>
      <c r="E739" s="178"/>
      <c r="F739" s="178"/>
      <c r="G739" s="178"/>
      <c r="H739" s="178"/>
    </row>
    <row r="740" spans="1:8" ht="12.75">
      <c r="A740" s="178"/>
      <c r="B740" s="178"/>
      <c r="C740" s="178"/>
      <c r="D740" s="178"/>
      <c r="E740" s="178"/>
      <c r="F740" s="178"/>
      <c r="G740" s="178"/>
      <c r="H740" s="178"/>
    </row>
    <row r="741" spans="1:8" ht="12.75">
      <c r="A741" s="178"/>
      <c r="B741" s="178"/>
      <c r="C741" s="178"/>
      <c r="D741" s="178"/>
      <c r="E741" s="178"/>
      <c r="F741" s="178"/>
      <c r="G741" s="178"/>
      <c r="H741" s="178"/>
    </row>
    <row r="742" spans="1:8" ht="12.75">
      <c r="A742" s="178"/>
      <c r="B742" s="178"/>
      <c r="C742" s="178"/>
      <c r="D742" s="178"/>
      <c r="E742" s="178"/>
      <c r="F742" s="178"/>
      <c r="G742" s="178"/>
      <c r="H742" s="178"/>
    </row>
    <row r="743" spans="1:8" ht="12.75">
      <c r="A743" s="178"/>
      <c r="B743" s="178"/>
      <c r="C743" s="178"/>
      <c r="D743" s="178"/>
      <c r="E743" s="178"/>
      <c r="F743" s="178"/>
      <c r="G743" s="178"/>
      <c r="H743" s="178"/>
    </row>
    <row r="744" spans="1:8" ht="12.75">
      <c r="A744" s="178"/>
      <c r="B744" s="178"/>
      <c r="C744" s="178"/>
      <c r="D744" s="178"/>
      <c r="E744" s="178"/>
      <c r="F744" s="178"/>
      <c r="G744" s="178"/>
      <c r="H744" s="178"/>
    </row>
    <row r="745" spans="1:8" ht="12.75">
      <c r="A745" s="178"/>
      <c r="B745" s="178"/>
      <c r="C745" s="178"/>
      <c r="D745" s="178"/>
      <c r="E745" s="178"/>
      <c r="F745" s="178"/>
      <c r="G745" s="178"/>
      <c r="H745" s="178"/>
    </row>
    <row r="746" spans="1:8" ht="12.75">
      <c r="A746" s="178"/>
      <c r="B746" s="178"/>
      <c r="C746" s="178"/>
      <c r="D746" s="178"/>
      <c r="E746" s="178"/>
      <c r="F746" s="178"/>
      <c r="G746" s="178"/>
      <c r="H746" s="178"/>
    </row>
    <row r="747" spans="1:8" ht="12.75">
      <c r="A747" s="178"/>
      <c r="B747" s="178"/>
      <c r="C747" s="178"/>
      <c r="D747" s="178"/>
      <c r="E747" s="178"/>
      <c r="F747" s="178"/>
      <c r="G747" s="178"/>
      <c r="H747" s="178"/>
    </row>
    <row r="748" spans="1:8" ht="12.75">
      <c r="A748" s="178"/>
      <c r="B748" s="178"/>
      <c r="C748" s="178"/>
      <c r="D748" s="178"/>
      <c r="E748" s="178"/>
      <c r="F748" s="178"/>
      <c r="G748" s="178"/>
      <c r="H748" s="178"/>
    </row>
    <row r="749" spans="1:8" ht="12.75">
      <c r="A749" s="178"/>
      <c r="B749" s="178"/>
      <c r="C749" s="178"/>
      <c r="D749" s="178"/>
      <c r="E749" s="178"/>
      <c r="F749" s="178"/>
      <c r="G749" s="178"/>
      <c r="H749" s="178"/>
    </row>
    <row r="750" spans="1:8" ht="12.75">
      <c r="A750" s="178"/>
      <c r="B750" s="178"/>
      <c r="C750" s="178"/>
      <c r="D750" s="178"/>
      <c r="E750" s="178"/>
      <c r="F750" s="178"/>
      <c r="G750" s="178"/>
      <c r="H750" s="178"/>
    </row>
    <row r="751" spans="1:8" ht="12.75">
      <c r="A751" s="178"/>
      <c r="B751" s="178"/>
      <c r="C751" s="178"/>
      <c r="D751" s="178"/>
      <c r="E751" s="178"/>
      <c r="F751" s="178"/>
      <c r="G751" s="178"/>
      <c r="H751" s="178"/>
    </row>
    <row r="752" spans="1:8" ht="12.75">
      <c r="A752" s="178"/>
      <c r="B752" s="178"/>
      <c r="C752" s="178"/>
      <c r="D752" s="178"/>
      <c r="E752" s="178"/>
      <c r="F752" s="178"/>
      <c r="G752" s="178"/>
      <c r="H752" s="178"/>
    </row>
    <row r="753" spans="1:8" ht="12.75">
      <c r="A753" s="178"/>
      <c r="B753" s="178"/>
      <c r="C753" s="178"/>
      <c r="D753" s="178"/>
      <c r="E753" s="178"/>
      <c r="F753" s="178"/>
      <c r="G753" s="178"/>
      <c r="H753" s="178"/>
    </row>
    <row r="754" spans="1:8" ht="12.75">
      <c r="A754" s="178"/>
      <c r="B754" s="178"/>
      <c r="C754" s="178"/>
      <c r="D754" s="178"/>
      <c r="E754" s="178"/>
      <c r="F754" s="178"/>
      <c r="G754" s="178"/>
      <c r="H754" s="178"/>
    </row>
    <row r="755" spans="1:8" ht="12.75">
      <c r="A755" s="178"/>
      <c r="B755" s="178"/>
      <c r="C755" s="178"/>
      <c r="D755" s="178"/>
      <c r="E755" s="178"/>
      <c r="F755" s="178"/>
      <c r="G755" s="178"/>
      <c r="H755" s="178"/>
    </row>
    <row r="756" spans="1:8" ht="12.75">
      <c r="A756" s="178"/>
      <c r="B756" s="178"/>
      <c r="C756" s="178"/>
      <c r="D756" s="178"/>
      <c r="E756" s="178"/>
      <c r="F756" s="178"/>
      <c r="G756" s="178"/>
      <c r="H756" s="178"/>
    </row>
    <row r="757" spans="1:8" ht="12.75">
      <c r="A757" s="178"/>
      <c r="B757" s="178"/>
      <c r="C757" s="178"/>
      <c r="D757" s="178"/>
      <c r="E757" s="178"/>
      <c r="F757" s="178"/>
      <c r="G757" s="178"/>
      <c r="H757" s="178"/>
    </row>
    <row r="758" spans="1:8" ht="12.75">
      <c r="A758" s="178"/>
      <c r="B758" s="178"/>
      <c r="C758" s="178"/>
      <c r="D758" s="178"/>
      <c r="E758" s="178"/>
      <c r="F758" s="178"/>
      <c r="G758" s="178"/>
      <c r="H758" s="178"/>
    </row>
    <row r="759" spans="1:8" ht="12.75">
      <c r="A759" s="178"/>
      <c r="B759" s="178"/>
      <c r="C759" s="178"/>
      <c r="D759" s="178"/>
      <c r="E759" s="178"/>
      <c r="F759" s="178"/>
      <c r="G759" s="178"/>
      <c r="H759" s="178"/>
    </row>
    <row r="760" spans="1:8" ht="12.75">
      <c r="A760" s="178"/>
      <c r="B760" s="178"/>
      <c r="C760" s="178"/>
      <c r="D760" s="178"/>
      <c r="E760" s="178"/>
      <c r="F760" s="178"/>
      <c r="G760" s="178"/>
      <c r="H760" s="178"/>
    </row>
    <row r="761" spans="1:8" ht="12.75">
      <c r="A761" s="178"/>
      <c r="B761" s="178"/>
      <c r="C761" s="178"/>
      <c r="D761" s="178"/>
      <c r="E761" s="178"/>
      <c r="F761" s="178"/>
      <c r="G761" s="178"/>
      <c r="H761" s="178"/>
    </row>
    <row r="762" spans="1:8" ht="12.75">
      <c r="A762" s="178"/>
      <c r="B762" s="178"/>
      <c r="C762" s="178"/>
      <c r="D762" s="178"/>
      <c r="E762" s="178"/>
      <c r="F762" s="178"/>
      <c r="G762" s="178"/>
      <c r="H762" s="178"/>
    </row>
    <row r="763" spans="1:8" ht="12.75">
      <c r="A763" s="178"/>
      <c r="B763" s="178"/>
      <c r="C763" s="178"/>
      <c r="D763" s="178"/>
      <c r="E763" s="178"/>
      <c r="F763" s="178"/>
      <c r="G763" s="178"/>
      <c r="H763" s="178"/>
    </row>
    <row r="764" spans="1:8" ht="12.75">
      <c r="A764" s="178"/>
      <c r="B764" s="178"/>
      <c r="C764" s="178"/>
      <c r="D764" s="178"/>
      <c r="E764" s="178"/>
      <c r="F764" s="178"/>
      <c r="G764" s="178"/>
      <c r="H764" s="178"/>
    </row>
    <row r="765" spans="1:8" ht="12.75">
      <c r="A765" s="178"/>
      <c r="B765" s="178"/>
      <c r="C765" s="178"/>
      <c r="D765" s="178"/>
      <c r="E765" s="178"/>
      <c r="F765" s="178"/>
      <c r="G765" s="178"/>
      <c r="H765" s="178"/>
    </row>
    <row r="766" spans="1:8" ht="12.75">
      <c r="A766" s="178"/>
      <c r="B766" s="178"/>
      <c r="C766" s="178"/>
      <c r="D766" s="178"/>
      <c r="E766" s="178"/>
      <c r="F766" s="178"/>
      <c r="G766" s="178"/>
      <c r="H766" s="178"/>
    </row>
    <row r="767" spans="1:8" ht="12.75">
      <c r="A767" s="178"/>
      <c r="B767" s="178"/>
      <c r="C767" s="178"/>
      <c r="D767" s="178"/>
      <c r="E767" s="178"/>
      <c r="F767" s="178"/>
      <c r="G767" s="178"/>
      <c r="H767" s="178"/>
    </row>
    <row r="768" spans="1:8" ht="12.75">
      <c r="A768" s="178"/>
      <c r="B768" s="178"/>
      <c r="C768" s="178"/>
      <c r="D768" s="178"/>
      <c r="E768" s="178"/>
      <c r="F768" s="178"/>
      <c r="G768" s="178"/>
      <c r="H768" s="178"/>
    </row>
    <row r="769" spans="1:8" ht="12.75">
      <c r="A769" s="178"/>
      <c r="B769" s="178"/>
      <c r="C769" s="178"/>
      <c r="D769" s="178"/>
      <c r="E769" s="178"/>
      <c r="F769" s="178"/>
      <c r="G769" s="178"/>
      <c r="H769" s="178"/>
    </row>
    <row r="770" spans="1:8" ht="12.75">
      <c r="A770" s="178"/>
      <c r="B770" s="178"/>
      <c r="C770" s="178"/>
      <c r="D770" s="178"/>
      <c r="E770" s="178"/>
      <c r="F770" s="178"/>
      <c r="G770" s="178"/>
      <c r="H770" s="178"/>
    </row>
    <row r="771" spans="1:8" ht="12.75">
      <c r="A771" s="178"/>
      <c r="B771" s="178"/>
      <c r="C771" s="178"/>
      <c r="D771" s="178"/>
      <c r="E771" s="178"/>
      <c r="F771" s="178"/>
      <c r="G771" s="178"/>
      <c r="H771" s="178"/>
    </row>
    <row r="772" spans="1:8" ht="12.75">
      <c r="A772" s="178"/>
      <c r="B772" s="178"/>
      <c r="C772" s="178"/>
      <c r="D772" s="178"/>
      <c r="E772" s="178"/>
      <c r="F772" s="178"/>
      <c r="G772" s="178"/>
      <c r="H772" s="178"/>
    </row>
    <row r="773" spans="1:8" ht="12.75">
      <c r="A773" s="178"/>
      <c r="B773" s="178"/>
      <c r="C773" s="178"/>
      <c r="D773" s="178"/>
      <c r="E773" s="178"/>
      <c r="F773" s="178"/>
      <c r="G773" s="178"/>
      <c r="H773" s="178"/>
    </row>
    <row r="774" spans="1:8" ht="12.75">
      <c r="A774" s="178"/>
      <c r="B774" s="178"/>
      <c r="C774" s="178"/>
      <c r="D774" s="178"/>
      <c r="E774" s="178"/>
      <c r="F774" s="178"/>
      <c r="G774" s="178"/>
      <c r="H774" s="178"/>
    </row>
    <row r="775" spans="1:8" ht="12.75">
      <c r="A775" s="178"/>
      <c r="B775" s="178"/>
      <c r="C775" s="178"/>
      <c r="D775" s="178"/>
      <c r="E775" s="178"/>
      <c r="F775" s="178"/>
      <c r="G775" s="178"/>
      <c r="H775" s="178"/>
    </row>
    <row r="776" spans="1:8" ht="12.75">
      <c r="A776" s="178"/>
      <c r="B776" s="178"/>
      <c r="C776" s="178"/>
      <c r="D776" s="178"/>
      <c r="E776" s="178"/>
      <c r="F776" s="178"/>
      <c r="G776" s="178"/>
      <c r="H776" s="178"/>
    </row>
    <row r="777" spans="1:8" ht="12.75">
      <c r="A777" s="178"/>
      <c r="B777" s="178"/>
      <c r="C777" s="178"/>
      <c r="D777" s="178"/>
      <c r="E777" s="178"/>
      <c r="F777" s="178"/>
      <c r="G777" s="178"/>
      <c r="H777" s="178"/>
    </row>
    <row r="778" spans="1:8" ht="12.75">
      <c r="A778" s="178"/>
      <c r="B778" s="178"/>
      <c r="C778" s="178"/>
      <c r="D778" s="178"/>
      <c r="E778" s="178"/>
      <c r="F778" s="178"/>
      <c r="G778" s="178"/>
      <c r="H778" s="178"/>
    </row>
    <row r="779" spans="1:8" ht="12.75">
      <c r="A779" s="178"/>
      <c r="B779" s="178"/>
      <c r="C779" s="178"/>
      <c r="D779" s="178"/>
      <c r="E779" s="178"/>
      <c r="F779" s="178"/>
      <c r="G779" s="178"/>
      <c r="H779" s="178"/>
    </row>
    <row r="780" spans="1:8" ht="12.75">
      <c r="A780" s="178"/>
      <c r="B780" s="178"/>
      <c r="C780" s="178"/>
      <c r="D780" s="178"/>
      <c r="E780" s="178"/>
      <c r="F780" s="178"/>
      <c r="G780" s="178"/>
      <c r="H780" s="178"/>
    </row>
    <row r="781" spans="1:8" ht="12.75">
      <c r="A781" s="178"/>
      <c r="B781" s="178"/>
      <c r="C781" s="178"/>
      <c r="D781" s="178"/>
      <c r="E781" s="178"/>
      <c r="F781" s="178"/>
      <c r="G781" s="178"/>
      <c r="H781" s="178"/>
    </row>
    <row r="782" spans="1:8" ht="12.75">
      <c r="A782" s="178"/>
      <c r="B782" s="178"/>
      <c r="C782" s="178"/>
      <c r="D782" s="178"/>
      <c r="E782" s="178"/>
      <c r="F782" s="178"/>
      <c r="G782" s="178"/>
      <c r="H782" s="178"/>
    </row>
    <row r="783" spans="1:8" ht="12.75">
      <c r="A783" s="178"/>
      <c r="B783" s="178"/>
      <c r="C783" s="178"/>
      <c r="D783" s="178"/>
      <c r="E783" s="178"/>
      <c r="F783" s="178"/>
      <c r="G783" s="178"/>
      <c r="H783" s="178"/>
    </row>
    <row r="784" spans="1:8" ht="12.75">
      <c r="A784" s="178"/>
      <c r="B784" s="178"/>
      <c r="C784" s="178"/>
      <c r="D784" s="178"/>
      <c r="E784" s="178"/>
      <c r="F784" s="178"/>
      <c r="G784" s="178"/>
      <c r="H784" s="178"/>
    </row>
    <row r="785" spans="1:8" ht="12.75">
      <c r="A785" s="178"/>
      <c r="B785" s="178"/>
      <c r="C785" s="178"/>
      <c r="D785" s="178"/>
      <c r="E785" s="178"/>
      <c r="F785" s="178"/>
      <c r="G785" s="178"/>
      <c r="H785" s="178"/>
    </row>
    <row r="786" spans="1:8" ht="12.75">
      <c r="A786" s="178"/>
      <c r="B786" s="178"/>
      <c r="C786" s="178"/>
      <c r="D786" s="178"/>
      <c r="E786" s="178"/>
      <c r="F786" s="178"/>
      <c r="G786" s="178"/>
      <c r="H786" s="178"/>
    </row>
    <row r="787" spans="1:8" ht="12.75">
      <c r="A787" s="178"/>
      <c r="B787" s="178"/>
      <c r="C787" s="178"/>
      <c r="D787" s="178"/>
      <c r="E787" s="178"/>
      <c r="F787" s="178"/>
      <c r="G787" s="178"/>
      <c r="H787" s="178"/>
    </row>
    <row r="788" spans="1:8" ht="12.75">
      <c r="A788" s="178"/>
      <c r="B788" s="178"/>
      <c r="C788" s="178"/>
      <c r="D788" s="178"/>
      <c r="E788" s="178"/>
      <c r="F788" s="178"/>
      <c r="G788" s="178"/>
      <c r="H788" s="178"/>
    </row>
    <row r="789" spans="1:8" ht="12.75">
      <c r="A789" s="178"/>
      <c r="B789" s="178"/>
      <c r="C789" s="178"/>
      <c r="D789" s="178"/>
      <c r="E789" s="178"/>
      <c r="F789" s="178"/>
      <c r="G789" s="178"/>
      <c r="H789" s="178"/>
    </row>
    <row r="790" spans="1:8" ht="12.75">
      <c r="A790" s="178"/>
      <c r="B790" s="178"/>
      <c r="C790" s="178"/>
      <c r="D790" s="178"/>
      <c r="E790" s="178"/>
      <c r="F790" s="178"/>
      <c r="G790" s="178"/>
      <c r="H790" s="178"/>
    </row>
    <row r="791" spans="1:8" ht="12.75">
      <c r="A791" s="178"/>
      <c r="B791" s="178"/>
      <c r="C791" s="178"/>
      <c r="D791" s="178"/>
      <c r="E791" s="178"/>
      <c r="F791" s="178"/>
      <c r="G791" s="178"/>
      <c r="H791" s="178"/>
    </row>
    <row r="792" spans="1:8" ht="12.75">
      <c r="A792" s="178"/>
      <c r="B792" s="178"/>
      <c r="C792" s="178"/>
      <c r="D792" s="178"/>
      <c r="E792" s="178"/>
      <c r="F792" s="178"/>
      <c r="G792" s="178"/>
      <c r="H792" s="178"/>
    </row>
    <row r="793" spans="1:8" ht="12.75">
      <c r="A793" s="178"/>
      <c r="B793" s="178"/>
      <c r="C793" s="178"/>
      <c r="D793" s="178"/>
      <c r="E793" s="178"/>
      <c r="F793" s="178"/>
      <c r="G793" s="178"/>
      <c r="H793" s="178"/>
    </row>
    <row r="794" spans="1:8" ht="12.75">
      <c r="A794" s="178"/>
      <c r="B794" s="178"/>
      <c r="C794" s="178"/>
      <c r="D794" s="178"/>
      <c r="E794" s="178"/>
      <c r="F794" s="178"/>
      <c r="G794" s="178"/>
      <c r="H794" s="178"/>
    </row>
    <row r="795" spans="1:8" ht="12.75">
      <c r="A795" s="178"/>
      <c r="B795" s="178"/>
      <c r="C795" s="178"/>
      <c r="D795" s="178"/>
      <c r="E795" s="178"/>
      <c r="F795" s="178"/>
      <c r="G795" s="178"/>
      <c r="H795" s="178"/>
    </row>
    <row r="796" spans="1:8" ht="12.75">
      <c r="A796" s="178"/>
      <c r="B796" s="178"/>
      <c r="C796" s="178"/>
      <c r="D796" s="178"/>
      <c r="E796" s="178"/>
      <c r="F796" s="178"/>
      <c r="G796" s="178"/>
      <c r="H796" s="178"/>
    </row>
    <row r="797" spans="1:8" ht="12.75">
      <c r="A797" s="178"/>
      <c r="B797" s="178"/>
      <c r="C797" s="178"/>
      <c r="D797" s="178"/>
      <c r="E797" s="178"/>
      <c r="F797" s="178"/>
      <c r="G797" s="178"/>
      <c r="H797" s="178"/>
    </row>
    <row r="798" spans="1:8" ht="12.75">
      <c r="A798" s="178"/>
      <c r="B798" s="178"/>
      <c r="C798" s="178"/>
      <c r="D798" s="178"/>
      <c r="E798" s="178"/>
      <c r="F798" s="178"/>
      <c r="G798" s="178"/>
      <c r="H798" s="178"/>
    </row>
    <row r="799" spans="1:8" ht="12.75">
      <c r="A799" s="178"/>
      <c r="B799" s="178"/>
      <c r="C799" s="178"/>
      <c r="D799" s="178"/>
      <c r="E799" s="178"/>
      <c r="F799" s="178"/>
      <c r="G799" s="178"/>
      <c r="H799" s="178"/>
    </row>
    <row r="800" spans="1:8" ht="12.75">
      <c r="A800" s="178"/>
      <c r="B800" s="178"/>
      <c r="C800" s="178"/>
      <c r="D800" s="178"/>
      <c r="E800" s="178"/>
      <c r="F800" s="178"/>
      <c r="G800" s="178"/>
      <c r="H800" s="178"/>
    </row>
    <row r="801" spans="1:8" ht="12.75">
      <c r="A801" s="178"/>
      <c r="B801" s="178"/>
      <c r="C801" s="178"/>
      <c r="D801" s="178"/>
      <c r="E801" s="178"/>
      <c r="F801" s="178"/>
      <c r="G801" s="178"/>
      <c r="H801" s="178"/>
    </row>
    <row r="802" spans="1:8" ht="12.75">
      <c r="A802" s="178"/>
      <c r="B802" s="178"/>
      <c r="C802" s="178"/>
      <c r="D802" s="178"/>
      <c r="E802" s="178"/>
      <c r="F802" s="178"/>
      <c r="G802" s="178"/>
      <c r="H802" s="178"/>
    </row>
    <row r="803" spans="1:8" ht="12.75">
      <c r="A803" s="178"/>
      <c r="B803" s="178"/>
      <c r="C803" s="178"/>
      <c r="D803" s="178"/>
      <c r="E803" s="178"/>
      <c r="F803" s="178"/>
      <c r="G803" s="178"/>
      <c r="H803" s="178"/>
    </row>
    <row r="804" spans="1:8" ht="12.75">
      <c r="A804" s="178"/>
      <c r="B804" s="178"/>
      <c r="C804" s="178"/>
      <c r="D804" s="178"/>
      <c r="E804" s="178"/>
      <c r="F804" s="178"/>
      <c r="G804" s="178"/>
      <c r="H804" s="178"/>
    </row>
    <row r="805" spans="1:8" ht="12.75">
      <c r="A805" s="178"/>
      <c r="B805" s="178"/>
      <c r="C805" s="178"/>
      <c r="D805" s="178"/>
      <c r="E805" s="178"/>
      <c r="F805" s="178"/>
      <c r="G805" s="178"/>
      <c r="H805" s="178"/>
    </row>
    <row r="806" spans="1:8" ht="12.75">
      <c r="A806" s="178"/>
      <c r="B806" s="178"/>
      <c r="C806" s="178"/>
      <c r="D806" s="178"/>
      <c r="E806" s="178"/>
      <c r="F806" s="178"/>
      <c r="G806" s="178"/>
      <c r="H806" s="178"/>
    </row>
    <row r="807" spans="1:8" ht="12.75">
      <c r="A807" s="178"/>
      <c r="B807" s="178"/>
      <c r="C807" s="178"/>
      <c r="D807" s="178"/>
      <c r="E807" s="178"/>
      <c r="F807" s="178"/>
      <c r="G807" s="178"/>
      <c r="H807" s="178"/>
    </row>
    <row r="808" spans="1:8" ht="12.75">
      <c r="A808" s="178"/>
      <c r="B808" s="178"/>
      <c r="C808" s="178"/>
      <c r="D808" s="178"/>
      <c r="E808" s="178"/>
      <c r="F808" s="178"/>
      <c r="G808" s="178"/>
      <c r="H808" s="178"/>
    </row>
    <row r="809" spans="1:8" ht="12.75">
      <c r="A809" s="178"/>
      <c r="B809" s="178"/>
      <c r="C809" s="178"/>
      <c r="D809" s="178"/>
      <c r="E809" s="178"/>
      <c r="F809" s="178"/>
      <c r="G809" s="178"/>
      <c r="H809" s="178"/>
    </row>
    <row r="810" spans="1:8" ht="12.75">
      <c r="A810" s="178"/>
      <c r="B810" s="178"/>
      <c r="C810" s="178"/>
      <c r="D810" s="178"/>
      <c r="E810" s="178"/>
      <c r="F810" s="178"/>
      <c r="G810" s="178"/>
      <c r="H810" s="178"/>
    </row>
    <row r="811" spans="1:8" ht="12.75">
      <c r="A811" s="178"/>
      <c r="B811" s="178"/>
      <c r="C811" s="178"/>
      <c r="D811" s="178"/>
      <c r="E811" s="178"/>
      <c r="F811" s="178"/>
      <c r="G811" s="178"/>
      <c r="H811" s="178"/>
    </row>
    <row r="812" spans="1:8" ht="12.75">
      <c r="A812" s="178"/>
      <c r="B812" s="178"/>
      <c r="C812" s="178"/>
      <c r="D812" s="178"/>
      <c r="E812" s="178"/>
      <c r="F812" s="178"/>
      <c r="G812" s="178"/>
      <c r="H812" s="178"/>
    </row>
    <row r="813" spans="1:8" ht="12.75">
      <c r="A813" s="178"/>
      <c r="B813" s="178"/>
      <c r="C813" s="178"/>
      <c r="D813" s="178"/>
      <c r="E813" s="178"/>
      <c r="F813" s="178"/>
      <c r="G813" s="178"/>
      <c r="H813" s="178"/>
    </row>
    <row r="814" spans="1:8" ht="12.75">
      <c r="A814" s="178"/>
      <c r="B814" s="178"/>
      <c r="C814" s="178"/>
      <c r="D814" s="178"/>
      <c r="E814" s="178"/>
      <c r="F814" s="178"/>
      <c r="G814" s="178"/>
      <c r="H814" s="178"/>
    </row>
    <row r="815" spans="1:8" ht="12.75">
      <c r="A815" s="178"/>
      <c r="B815" s="178"/>
      <c r="C815" s="178"/>
      <c r="D815" s="178"/>
      <c r="E815" s="178"/>
      <c r="F815" s="178"/>
      <c r="G815" s="178"/>
      <c r="H815" s="178"/>
    </row>
    <row r="816" spans="1:8" ht="12.75">
      <c r="A816" s="178"/>
      <c r="B816" s="178"/>
      <c r="C816" s="178"/>
      <c r="D816" s="178"/>
      <c r="E816" s="178"/>
      <c r="F816" s="178"/>
      <c r="G816" s="178"/>
      <c r="H816" s="178"/>
    </row>
    <row r="817" spans="1:8" ht="12.75">
      <c r="A817" s="178"/>
      <c r="B817" s="178"/>
      <c r="C817" s="178"/>
      <c r="D817" s="178"/>
      <c r="E817" s="178"/>
      <c r="F817" s="178"/>
      <c r="G817" s="178"/>
      <c r="H817" s="178"/>
    </row>
    <row r="818" spans="1:8" ht="12.75">
      <c r="A818" s="178"/>
      <c r="B818" s="178"/>
      <c r="C818" s="178"/>
      <c r="D818" s="178"/>
      <c r="E818" s="178"/>
      <c r="F818" s="178"/>
      <c r="G818" s="178"/>
      <c r="H818" s="178"/>
    </row>
    <row r="819" spans="1:8" ht="12.75">
      <c r="A819" s="178"/>
      <c r="B819" s="178"/>
      <c r="C819" s="178"/>
      <c r="D819" s="178"/>
      <c r="E819" s="178"/>
      <c r="F819" s="178"/>
      <c r="G819" s="178"/>
      <c r="H819" s="178"/>
    </row>
    <row r="820" spans="1:8" ht="12.75">
      <c r="A820" s="178"/>
      <c r="B820" s="178"/>
      <c r="C820" s="178"/>
      <c r="D820" s="178"/>
      <c r="E820" s="178"/>
      <c r="F820" s="178"/>
      <c r="G820" s="178"/>
      <c r="H820" s="178"/>
    </row>
    <row r="821" spans="1:8" ht="12.75">
      <c r="A821" s="178"/>
      <c r="B821" s="178"/>
      <c r="C821" s="178"/>
      <c r="D821" s="178"/>
      <c r="E821" s="178"/>
      <c r="F821" s="178"/>
      <c r="G821" s="178"/>
      <c r="H821" s="178"/>
    </row>
    <row r="822" spans="1:8" ht="12.75">
      <c r="A822" s="178"/>
      <c r="B822" s="178"/>
      <c r="C822" s="178"/>
      <c r="D822" s="178"/>
      <c r="E822" s="178"/>
      <c r="F822" s="178"/>
      <c r="G822" s="178"/>
      <c r="H822" s="178"/>
    </row>
    <row r="823" spans="1:8" ht="12.75">
      <c r="A823" s="178"/>
      <c r="B823" s="178"/>
      <c r="C823" s="178"/>
      <c r="D823" s="178"/>
      <c r="E823" s="178"/>
      <c r="F823" s="178"/>
      <c r="G823" s="178"/>
      <c r="H823" s="178"/>
    </row>
    <row r="824" spans="1:8" ht="12.75">
      <c r="A824" s="178"/>
      <c r="B824" s="178"/>
      <c r="C824" s="178"/>
      <c r="D824" s="178"/>
      <c r="E824" s="178"/>
      <c r="F824" s="178"/>
      <c r="G824" s="178"/>
      <c r="H824" s="178"/>
    </row>
    <row r="825" spans="1:8" ht="12.75">
      <c r="A825" s="178"/>
      <c r="B825" s="178"/>
      <c r="C825" s="178"/>
      <c r="D825" s="178"/>
      <c r="E825" s="178"/>
      <c r="F825" s="178"/>
      <c r="G825" s="178"/>
      <c r="H825" s="178"/>
    </row>
    <row r="826" spans="1:8" ht="12.75">
      <c r="A826" s="178"/>
      <c r="B826" s="178"/>
      <c r="C826" s="178"/>
      <c r="D826" s="178"/>
      <c r="E826" s="178"/>
      <c r="F826" s="178"/>
      <c r="G826" s="178"/>
      <c r="H826" s="178"/>
    </row>
    <row r="827" spans="1:8" ht="12.75">
      <c r="A827" s="178"/>
      <c r="B827" s="178"/>
      <c r="C827" s="178"/>
      <c r="D827" s="178"/>
      <c r="E827" s="178"/>
      <c r="F827" s="178"/>
      <c r="G827" s="178"/>
      <c r="H827" s="178"/>
    </row>
    <row r="828" spans="1:8" ht="12.75">
      <c r="A828" s="178"/>
      <c r="B828" s="178"/>
      <c r="C828" s="178"/>
      <c r="D828" s="178"/>
      <c r="E828" s="178"/>
      <c r="F828" s="178"/>
      <c r="G828" s="178"/>
      <c r="H828" s="178"/>
    </row>
    <row r="829" spans="1:8" ht="12.75">
      <c r="A829" s="178"/>
      <c r="B829" s="178"/>
      <c r="C829" s="178"/>
      <c r="D829" s="178"/>
      <c r="E829" s="178"/>
      <c r="F829" s="178"/>
      <c r="G829" s="178"/>
      <c r="H829" s="178"/>
    </row>
    <row r="830" spans="1:8" ht="12.75">
      <c r="A830" s="178"/>
      <c r="B830" s="178"/>
      <c r="C830" s="178"/>
      <c r="D830" s="178"/>
      <c r="E830" s="178"/>
      <c r="F830" s="178"/>
      <c r="G830" s="178"/>
      <c r="H830" s="178"/>
    </row>
    <row r="831" spans="1:8" ht="12.75">
      <c r="A831" s="178"/>
      <c r="B831" s="178"/>
      <c r="C831" s="178"/>
      <c r="D831" s="178"/>
      <c r="E831" s="178"/>
      <c r="F831" s="178"/>
      <c r="G831" s="178"/>
      <c r="H831" s="178"/>
    </row>
    <row r="832" spans="1:8" ht="12.75">
      <c r="A832" s="178"/>
      <c r="B832" s="178"/>
      <c r="C832" s="178"/>
      <c r="D832" s="178"/>
      <c r="E832" s="178"/>
      <c r="F832" s="178"/>
      <c r="G832" s="178"/>
      <c r="H832" s="178"/>
    </row>
    <row r="833" spans="1:8" ht="12.75">
      <c r="A833" s="178"/>
      <c r="B833" s="178"/>
      <c r="C833" s="178"/>
      <c r="D833" s="178"/>
      <c r="E833" s="178"/>
      <c r="F833" s="178"/>
      <c r="G833" s="178"/>
      <c r="H833" s="178"/>
    </row>
    <row r="834" spans="1:8" ht="12.75">
      <c r="A834" s="178"/>
      <c r="B834" s="178"/>
      <c r="C834" s="178"/>
      <c r="D834" s="178"/>
      <c r="E834" s="178"/>
      <c r="F834" s="178"/>
      <c r="G834" s="178"/>
      <c r="H834" s="178"/>
    </row>
    <row r="835" spans="1:8" ht="12.75">
      <c r="A835" s="178"/>
      <c r="B835" s="178"/>
      <c r="C835" s="178"/>
      <c r="D835" s="178"/>
      <c r="E835" s="178"/>
      <c r="F835" s="178"/>
      <c r="G835" s="178"/>
      <c r="H835" s="178"/>
    </row>
    <row r="836" spans="1:8" ht="12.75">
      <c r="A836" s="178"/>
      <c r="B836" s="178"/>
      <c r="C836" s="178"/>
      <c r="D836" s="178"/>
      <c r="E836" s="178"/>
      <c r="F836" s="178"/>
      <c r="G836" s="178"/>
      <c r="H836" s="178"/>
    </row>
    <row r="837" spans="1:8" ht="12.75">
      <c r="A837" s="178"/>
      <c r="B837" s="178"/>
      <c r="C837" s="178"/>
      <c r="D837" s="178"/>
      <c r="E837" s="178"/>
      <c r="F837" s="178"/>
      <c r="G837" s="178"/>
      <c r="H837" s="178"/>
    </row>
    <row r="838" spans="1:8" ht="12.75">
      <c r="A838" s="178"/>
      <c r="B838" s="178"/>
      <c r="C838" s="178"/>
      <c r="D838" s="178"/>
      <c r="E838" s="178"/>
      <c r="F838" s="178"/>
      <c r="G838" s="178"/>
      <c r="H838" s="178"/>
    </row>
    <row r="839" spans="1:8" ht="12.75">
      <c r="A839" s="178"/>
      <c r="B839" s="178"/>
      <c r="C839" s="178"/>
      <c r="D839" s="178"/>
      <c r="E839" s="178"/>
      <c r="F839" s="178"/>
      <c r="G839" s="178"/>
      <c r="H839" s="178"/>
    </row>
    <row r="840" spans="1:8" ht="12.75">
      <c r="A840" s="178"/>
      <c r="B840" s="178"/>
      <c r="C840" s="178"/>
      <c r="D840" s="178"/>
      <c r="E840" s="178"/>
      <c r="F840" s="178"/>
      <c r="G840" s="178"/>
      <c r="H840" s="178"/>
    </row>
    <row r="841" spans="1:8" ht="12.75">
      <c r="A841" s="178"/>
      <c r="B841" s="178"/>
      <c r="C841" s="178"/>
      <c r="D841" s="178"/>
      <c r="E841" s="178"/>
      <c r="F841" s="178"/>
      <c r="G841" s="178"/>
      <c r="H841" s="178"/>
    </row>
    <row r="842" spans="1:8" ht="12.75">
      <c r="A842" s="178"/>
      <c r="B842" s="178"/>
      <c r="C842" s="178"/>
      <c r="D842" s="178"/>
      <c r="E842" s="178"/>
      <c r="F842" s="178"/>
      <c r="G842" s="178"/>
      <c r="H842" s="178"/>
    </row>
    <row r="843" spans="1:8" ht="12.75">
      <c r="A843" s="178"/>
      <c r="B843" s="178"/>
      <c r="C843" s="178"/>
      <c r="D843" s="178"/>
      <c r="E843" s="178"/>
      <c r="F843" s="178"/>
      <c r="G843" s="178"/>
      <c r="H843" s="178"/>
    </row>
    <row r="844" spans="1:8" ht="12.75">
      <c r="A844" s="178"/>
      <c r="B844" s="178"/>
      <c r="C844" s="178"/>
      <c r="D844" s="178"/>
      <c r="E844" s="178"/>
      <c r="F844" s="178"/>
      <c r="G844" s="178"/>
      <c r="H844" s="178"/>
    </row>
    <row r="845" spans="1:8" ht="12.75">
      <c r="A845" s="178"/>
      <c r="B845" s="178"/>
      <c r="C845" s="178"/>
      <c r="D845" s="178"/>
      <c r="E845" s="178"/>
      <c r="F845" s="178"/>
      <c r="G845" s="178"/>
      <c r="H845" s="178"/>
    </row>
    <row r="846" spans="1:8" ht="12.75">
      <c r="A846" s="178"/>
      <c r="B846" s="178"/>
      <c r="C846" s="178"/>
      <c r="D846" s="178"/>
      <c r="E846" s="178"/>
      <c r="F846" s="178"/>
      <c r="G846" s="178"/>
      <c r="H846" s="178"/>
    </row>
    <row r="847" spans="1:8" ht="12.75">
      <c r="A847" s="178"/>
      <c r="B847" s="178"/>
      <c r="C847" s="178"/>
      <c r="D847" s="178"/>
      <c r="E847" s="178"/>
      <c r="F847" s="178"/>
      <c r="G847" s="178"/>
      <c r="H847" s="178"/>
    </row>
    <row r="848" spans="1:8" ht="12.75">
      <c r="A848" s="178"/>
      <c r="B848" s="178"/>
      <c r="C848" s="178"/>
      <c r="D848" s="178"/>
      <c r="E848" s="178"/>
      <c r="F848" s="178"/>
      <c r="G848" s="178"/>
      <c r="H848" s="178"/>
    </row>
    <row r="849" spans="1:8" ht="12.75">
      <c r="A849" s="178"/>
      <c r="B849" s="178"/>
      <c r="C849" s="178"/>
      <c r="D849" s="178"/>
      <c r="E849" s="178"/>
      <c r="F849" s="178"/>
      <c r="G849" s="178"/>
      <c r="H849" s="178"/>
    </row>
    <row r="850" spans="1:8" ht="12.75">
      <c r="A850" s="178"/>
      <c r="B850" s="178"/>
      <c r="C850" s="178"/>
      <c r="D850" s="178"/>
      <c r="E850" s="178"/>
      <c r="F850" s="178"/>
      <c r="G850" s="178"/>
      <c r="H850" s="178"/>
    </row>
    <row r="851" spans="1:8" ht="12.75">
      <c r="A851" s="178"/>
      <c r="B851" s="178"/>
      <c r="C851" s="178"/>
      <c r="D851" s="178"/>
      <c r="E851" s="178"/>
      <c r="F851" s="178"/>
      <c r="G851" s="178"/>
      <c r="H851" s="178"/>
    </row>
    <row r="852" spans="1:8" ht="12.75">
      <c r="A852" s="178"/>
      <c r="B852" s="178"/>
      <c r="C852" s="178"/>
      <c r="D852" s="178"/>
      <c r="E852" s="178"/>
      <c r="F852" s="178"/>
      <c r="G852" s="178"/>
      <c r="H852" s="178"/>
    </row>
    <row r="853" spans="1:8" ht="12.75">
      <c r="A853" s="178"/>
      <c r="B853" s="178"/>
      <c r="C853" s="178"/>
      <c r="D853" s="178"/>
      <c r="E853" s="178"/>
      <c r="F853" s="178"/>
      <c r="G853" s="178"/>
      <c r="H853" s="178"/>
    </row>
    <row r="854" spans="1:8" ht="12.75">
      <c r="A854" s="178"/>
      <c r="B854" s="178"/>
      <c r="C854" s="178"/>
      <c r="D854" s="178"/>
      <c r="E854" s="178"/>
      <c r="F854" s="178"/>
      <c r="G854" s="178"/>
      <c r="H854" s="178"/>
    </row>
    <row r="855" spans="1:8" ht="12.75">
      <c r="A855" s="178"/>
      <c r="B855" s="178"/>
      <c r="C855" s="178"/>
      <c r="D855" s="178"/>
      <c r="E855" s="178"/>
      <c r="F855" s="178"/>
      <c r="G855" s="178"/>
      <c r="H855" s="178"/>
    </row>
    <row r="856" spans="1:8" ht="12.75">
      <c r="A856" s="178"/>
      <c r="B856" s="178"/>
      <c r="C856" s="178"/>
      <c r="D856" s="178"/>
      <c r="E856" s="178"/>
      <c r="F856" s="178"/>
      <c r="G856" s="178"/>
      <c r="H856" s="178"/>
    </row>
    <row r="857" spans="1:8" ht="12.75">
      <c r="A857" s="178"/>
      <c r="B857" s="178"/>
      <c r="C857" s="178"/>
      <c r="D857" s="178"/>
      <c r="E857" s="178"/>
      <c r="F857" s="178"/>
      <c r="G857" s="178"/>
      <c r="H857" s="178"/>
    </row>
    <row r="858" spans="1:8" ht="12.75">
      <c r="A858" s="178"/>
      <c r="B858" s="178"/>
      <c r="C858" s="178"/>
      <c r="D858" s="178"/>
      <c r="E858" s="178"/>
      <c r="F858" s="178"/>
      <c r="G858" s="178"/>
      <c r="H858" s="178"/>
    </row>
    <row r="859" spans="1:8" ht="12.75">
      <c r="A859" s="178"/>
      <c r="B859" s="178"/>
      <c r="C859" s="178"/>
      <c r="D859" s="178"/>
      <c r="E859" s="178"/>
      <c r="F859" s="178"/>
      <c r="G859" s="178"/>
      <c r="H859" s="178"/>
    </row>
    <row r="860" spans="1:8" ht="12.75">
      <c r="A860" s="178"/>
      <c r="B860" s="178"/>
      <c r="C860" s="178"/>
      <c r="D860" s="178"/>
      <c r="E860" s="178"/>
      <c r="F860" s="178"/>
      <c r="G860" s="178"/>
      <c r="H860" s="178"/>
    </row>
    <row r="861" spans="1:8" ht="12.75">
      <c r="A861" s="178"/>
      <c r="B861" s="178"/>
      <c r="C861" s="178"/>
      <c r="D861" s="178"/>
      <c r="E861" s="178"/>
      <c r="F861" s="178"/>
      <c r="G861" s="178"/>
      <c r="H861" s="178"/>
    </row>
    <row r="862" spans="1:8" ht="12.75">
      <c r="A862" s="178"/>
      <c r="B862" s="178"/>
      <c r="C862" s="178"/>
      <c r="D862" s="178"/>
      <c r="E862" s="178"/>
      <c r="F862" s="178"/>
      <c r="G862" s="178"/>
      <c r="H862" s="178"/>
    </row>
    <row r="863" spans="1:8" ht="12.75">
      <c r="A863" s="178"/>
      <c r="B863" s="178"/>
      <c r="C863" s="178"/>
      <c r="D863" s="178"/>
      <c r="E863" s="178"/>
      <c r="F863" s="178"/>
      <c r="G863" s="178"/>
      <c r="H863" s="178"/>
    </row>
    <row r="864" spans="1:8" ht="12.75">
      <c r="A864" s="178"/>
      <c r="B864" s="178"/>
      <c r="C864" s="178"/>
      <c r="D864" s="178"/>
      <c r="E864" s="178"/>
      <c r="F864" s="178"/>
      <c r="G864" s="178"/>
      <c r="H864" s="178"/>
    </row>
    <row r="865" spans="1:8" ht="12.75">
      <c r="A865" s="178"/>
      <c r="B865" s="178"/>
      <c r="C865" s="178"/>
      <c r="D865" s="178"/>
      <c r="E865" s="178"/>
      <c r="F865" s="178"/>
      <c r="G865" s="178"/>
      <c r="H865" s="178"/>
    </row>
    <row r="866" spans="1:8" ht="12.75">
      <c r="A866" s="178"/>
      <c r="B866" s="178"/>
      <c r="C866" s="178"/>
      <c r="D866" s="178"/>
      <c r="E866" s="178"/>
      <c r="F866" s="178"/>
      <c r="G866" s="178"/>
      <c r="H866" s="178"/>
    </row>
    <row r="867" spans="1:8" ht="12.75">
      <c r="A867" s="178"/>
      <c r="B867" s="178"/>
      <c r="C867" s="178"/>
      <c r="D867" s="178"/>
      <c r="E867" s="178"/>
      <c r="F867" s="178"/>
      <c r="G867" s="178"/>
      <c r="H867" s="178"/>
    </row>
    <row r="868" spans="1:8" ht="12.75">
      <c r="A868" s="178"/>
      <c r="B868" s="178"/>
      <c r="C868" s="178"/>
      <c r="D868" s="178"/>
      <c r="E868" s="178"/>
      <c r="F868" s="178"/>
      <c r="G868" s="178"/>
      <c r="H868" s="178"/>
    </row>
    <row r="869" spans="1:8" ht="12.75">
      <c r="A869" s="178"/>
      <c r="B869" s="178"/>
      <c r="C869" s="178"/>
      <c r="D869" s="178"/>
      <c r="E869" s="178"/>
      <c r="F869" s="178"/>
      <c r="G869" s="178"/>
      <c r="H869" s="178"/>
    </row>
    <row r="870" spans="1:8" ht="12.75">
      <c r="A870" s="178"/>
      <c r="B870" s="178"/>
      <c r="C870" s="178"/>
      <c r="D870" s="178"/>
      <c r="E870" s="178"/>
      <c r="F870" s="178"/>
      <c r="G870" s="178"/>
      <c r="H870" s="178"/>
    </row>
    <row r="871" spans="1:8" ht="12.75">
      <c r="A871" s="178"/>
      <c r="B871" s="178"/>
      <c r="C871" s="178"/>
      <c r="D871" s="178"/>
      <c r="E871" s="178"/>
      <c r="F871" s="178"/>
      <c r="G871" s="178"/>
      <c r="H871" s="178"/>
    </row>
    <row r="872" spans="1:8" ht="12.75">
      <c r="A872" s="178"/>
      <c r="B872" s="178"/>
      <c r="C872" s="178"/>
      <c r="D872" s="178"/>
      <c r="E872" s="178"/>
      <c r="F872" s="178"/>
      <c r="G872" s="178"/>
      <c r="H872" s="178"/>
    </row>
    <row r="873" spans="1:8" ht="12.75">
      <c r="A873" s="178"/>
      <c r="B873" s="178"/>
      <c r="C873" s="178"/>
      <c r="D873" s="178"/>
      <c r="E873" s="178"/>
      <c r="F873" s="178"/>
      <c r="G873" s="178"/>
      <c r="H873" s="178"/>
    </row>
    <row r="874" spans="1:8" ht="12.75">
      <c r="A874" s="178"/>
      <c r="B874" s="178"/>
      <c r="C874" s="178"/>
      <c r="D874" s="178"/>
      <c r="E874" s="178"/>
      <c r="F874" s="178"/>
      <c r="G874" s="178"/>
      <c r="H874" s="178"/>
    </row>
    <row r="875" spans="1:8" ht="12.75">
      <c r="A875" s="178"/>
      <c r="B875" s="178"/>
      <c r="C875" s="178"/>
      <c r="D875" s="178"/>
      <c r="E875" s="178"/>
      <c r="F875" s="178"/>
      <c r="G875" s="178"/>
      <c r="H875" s="178"/>
    </row>
    <row r="876" spans="1:8" ht="12.75">
      <c r="A876" s="178"/>
      <c r="B876" s="178"/>
      <c r="C876" s="178"/>
      <c r="D876" s="178"/>
      <c r="E876" s="178"/>
      <c r="F876" s="178"/>
      <c r="G876" s="178"/>
      <c r="H876" s="178"/>
    </row>
    <row r="877" spans="1:8" ht="12.75">
      <c r="A877" s="178"/>
      <c r="B877" s="178"/>
      <c r="C877" s="178"/>
      <c r="D877" s="178"/>
      <c r="E877" s="178"/>
      <c r="F877" s="178"/>
      <c r="G877" s="178"/>
      <c r="H877" s="178"/>
    </row>
    <row r="878" spans="1:8" ht="12.75">
      <c r="A878" s="178"/>
      <c r="B878" s="178"/>
      <c r="C878" s="178"/>
      <c r="D878" s="178"/>
      <c r="E878" s="178"/>
      <c r="F878" s="178"/>
      <c r="G878" s="178"/>
      <c r="H878" s="178"/>
    </row>
    <row r="879" spans="1:8" ht="12.75">
      <c r="A879" s="178"/>
      <c r="B879" s="178"/>
      <c r="C879" s="178"/>
      <c r="D879" s="178"/>
      <c r="E879" s="178"/>
      <c r="F879" s="178"/>
      <c r="G879" s="178"/>
      <c r="H879" s="178"/>
    </row>
    <row r="880" spans="1:8" ht="12.75">
      <c r="A880" s="178"/>
      <c r="B880" s="178"/>
      <c r="C880" s="178"/>
      <c r="D880" s="178"/>
      <c r="E880" s="178"/>
      <c r="F880" s="178"/>
      <c r="G880" s="178"/>
      <c r="H880" s="178"/>
    </row>
    <row r="881" spans="1:8" ht="12.75">
      <c r="A881" s="178"/>
      <c r="B881" s="178"/>
      <c r="C881" s="178"/>
      <c r="D881" s="178"/>
      <c r="E881" s="178"/>
      <c r="F881" s="178"/>
      <c r="G881" s="178"/>
      <c r="H881" s="178"/>
    </row>
    <row r="882" spans="1:8" ht="12.75">
      <c r="A882" s="178"/>
      <c r="B882" s="178"/>
      <c r="C882" s="178"/>
      <c r="D882" s="178"/>
      <c r="E882" s="178"/>
      <c r="F882" s="178"/>
      <c r="G882" s="178"/>
      <c r="H882" s="178"/>
    </row>
    <row r="883" spans="1:8" ht="12.75">
      <c r="A883" s="178"/>
      <c r="B883" s="178"/>
      <c r="C883" s="178"/>
      <c r="D883" s="178"/>
      <c r="E883" s="178"/>
      <c r="F883" s="178"/>
      <c r="G883" s="178"/>
      <c r="H883" s="178"/>
    </row>
    <row r="884" spans="1:8" ht="12.75">
      <c r="A884" s="178"/>
      <c r="B884" s="178"/>
      <c r="C884" s="178"/>
      <c r="D884" s="178"/>
      <c r="E884" s="178"/>
      <c r="F884" s="178"/>
      <c r="G884" s="178"/>
      <c r="H884" s="178"/>
    </row>
    <row r="885" spans="1:8" ht="12.75">
      <c r="A885" s="178"/>
      <c r="B885" s="178"/>
      <c r="C885" s="178"/>
      <c r="D885" s="178"/>
      <c r="E885" s="178"/>
      <c r="F885" s="178"/>
      <c r="G885" s="178"/>
      <c r="H885" s="178"/>
    </row>
    <row r="886" spans="1:8" ht="12.75">
      <c r="A886" s="178"/>
      <c r="B886" s="178"/>
      <c r="C886" s="178"/>
      <c r="D886" s="178"/>
      <c r="E886" s="178"/>
      <c r="F886" s="178"/>
      <c r="G886" s="178"/>
      <c r="H886" s="178"/>
    </row>
    <row r="887" spans="1:8" ht="12.75">
      <c r="A887" s="178"/>
      <c r="B887" s="178"/>
      <c r="C887" s="178"/>
      <c r="D887" s="178"/>
      <c r="E887" s="178"/>
      <c r="F887" s="178"/>
      <c r="G887" s="178"/>
      <c r="H887" s="178"/>
    </row>
    <row r="888" spans="1:8" ht="12.75">
      <c r="A888" s="178"/>
      <c r="B888" s="178"/>
      <c r="C888" s="178"/>
      <c r="D888" s="178"/>
      <c r="E888" s="178"/>
      <c r="F888" s="178"/>
      <c r="G888" s="178"/>
      <c r="H888" s="178"/>
    </row>
    <row r="889" spans="1:8" ht="12.75">
      <c r="A889" s="178"/>
      <c r="B889" s="178"/>
      <c r="C889" s="178"/>
      <c r="D889" s="178"/>
      <c r="E889" s="178"/>
      <c r="F889" s="178"/>
      <c r="G889" s="178"/>
      <c r="H889" s="178"/>
    </row>
    <row r="890" spans="1:8" ht="12.75">
      <c r="A890" s="178"/>
      <c r="B890" s="178"/>
      <c r="C890" s="178"/>
      <c r="D890" s="178"/>
      <c r="E890" s="178"/>
      <c r="F890" s="178"/>
      <c r="G890" s="178"/>
      <c r="H890" s="178"/>
    </row>
    <row r="891" spans="1:8" ht="12.75">
      <c r="A891" s="178"/>
      <c r="B891" s="178"/>
      <c r="C891" s="178"/>
      <c r="D891" s="178"/>
      <c r="E891" s="178"/>
      <c r="F891" s="178"/>
      <c r="G891" s="178"/>
      <c r="H891" s="178"/>
    </row>
    <row r="892" spans="1:8" ht="12.75">
      <c r="A892" s="178"/>
      <c r="B892" s="178"/>
      <c r="C892" s="178"/>
      <c r="D892" s="178"/>
      <c r="E892" s="178"/>
      <c r="F892" s="178"/>
      <c r="G892" s="178"/>
      <c r="H892" s="178"/>
    </row>
    <row r="893" spans="1:8" ht="12.75">
      <c r="A893" s="178"/>
      <c r="B893" s="178"/>
      <c r="C893" s="178"/>
      <c r="D893" s="178"/>
      <c r="E893" s="178"/>
      <c r="F893" s="178"/>
      <c r="G893" s="178"/>
      <c r="H893" s="178"/>
    </row>
    <row r="894" spans="1:8" ht="12.75">
      <c r="A894" s="178"/>
      <c r="B894" s="178"/>
      <c r="C894" s="178"/>
      <c r="D894" s="178"/>
      <c r="E894" s="178"/>
      <c r="F894" s="178"/>
      <c r="G894" s="178"/>
      <c r="H894" s="178"/>
    </row>
    <row r="895" spans="1:8" ht="12.75">
      <c r="A895" s="178"/>
      <c r="B895" s="178"/>
      <c r="C895" s="178"/>
      <c r="D895" s="178"/>
      <c r="E895" s="178"/>
      <c r="F895" s="178"/>
      <c r="G895" s="178"/>
      <c r="H895" s="178"/>
    </row>
    <row r="896" spans="1:8" ht="12.75">
      <c r="A896" s="178"/>
      <c r="B896" s="178"/>
      <c r="C896" s="178"/>
      <c r="D896" s="178"/>
      <c r="E896" s="178"/>
      <c r="F896" s="178"/>
      <c r="G896" s="178"/>
      <c r="H896" s="178"/>
    </row>
    <row r="897" spans="1:8" ht="12.75">
      <c r="A897" s="178"/>
      <c r="B897" s="178"/>
      <c r="C897" s="178"/>
      <c r="D897" s="178"/>
      <c r="E897" s="178"/>
      <c r="F897" s="178"/>
      <c r="G897" s="178"/>
      <c r="H897" s="178"/>
    </row>
    <row r="898" spans="1:8" ht="12.75">
      <c r="A898" s="178"/>
      <c r="B898" s="178"/>
      <c r="C898" s="178"/>
      <c r="D898" s="178"/>
      <c r="E898" s="178"/>
      <c r="F898" s="178"/>
      <c r="G898" s="178"/>
      <c r="H898" s="178"/>
    </row>
    <row r="899" spans="1:8" ht="12.75">
      <c r="A899" s="178"/>
      <c r="B899" s="178"/>
      <c r="C899" s="178"/>
      <c r="D899" s="178"/>
      <c r="E899" s="178"/>
      <c r="F899" s="178"/>
      <c r="G899" s="178"/>
      <c r="H899" s="178"/>
    </row>
    <row r="900" spans="1:8" ht="12.75">
      <c r="A900" s="178"/>
      <c r="B900" s="178"/>
      <c r="C900" s="178"/>
      <c r="D900" s="178"/>
      <c r="E900" s="178"/>
      <c r="F900" s="178"/>
      <c r="G900" s="178"/>
      <c r="H900" s="178"/>
    </row>
    <row r="901" spans="1:8" ht="12.75">
      <c r="A901" s="178"/>
      <c r="B901" s="178"/>
      <c r="C901" s="178"/>
      <c r="D901" s="178"/>
      <c r="E901" s="178"/>
      <c r="F901" s="178"/>
      <c r="G901" s="178"/>
      <c r="H901" s="178"/>
    </row>
    <row r="902" spans="1:8" ht="12.75">
      <c r="A902" s="178"/>
      <c r="B902" s="178"/>
      <c r="C902" s="178"/>
      <c r="D902" s="178"/>
      <c r="E902" s="178"/>
      <c r="F902" s="178"/>
      <c r="G902" s="178"/>
      <c r="H902" s="178"/>
    </row>
    <row r="903" spans="1:8" ht="12.75">
      <c r="A903" s="178"/>
      <c r="B903" s="178"/>
      <c r="C903" s="178"/>
      <c r="D903" s="178"/>
      <c r="E903" s="178"/>
      <c r="F903" s="178"/>
      <c r="G903" s="178"/>
      <c r="H903" s="178"/>
    </row>
    <row r="904" spans="1:8" ht="12.75">
      <c r="A904" s="178"/>
      <c r="B904" s="178"/>
      <c r="C904" s="178"/>
      <c r="D904" s="178"/>
      <c r="E904" s="178"/>
      <c r="F904" s="178"/>
      <c r="G904" s="178"/>
      <c r="H904" s="178"/>
    </row>
    <row r="905" spans="1:8" ht="12.75">
      <c r="A905" s="178"/>
      <c r="B905" s="178"/>
      <c r="C905" s="178"/>
      <c r="D905" s="178"/>
      <c r="E905" s="178"/>
      <c r="F905" s="178"/>
      <c r="G905" s="178"/>
      <c r="H905" s="178"/>
    </row>
    <row r="906" spans="1:8" ht="12.75">
      <c r="A906" s="178"/>
      <c r="B906" s="178"/>
      <c r="C906" s="178"/>
      <c r="D906" s="178"/>
      <c r="E906" s="178"/>
      <c r="F906" s="178"/>
      <c r="G906" s="178"/>
      <c r="H906" s="178"/>
    </row>
    <row r="907" spans="1:8" ht="12.75">
      <c r="A907" s="178"/>
      <c r="B907" s="178"/>
      <c r="C907" s="178"/>
      <c r="D907" s="178"/>
      <c r="E907" s="178"/>
      <c r="F907" s="178"/>
      <c r="G907" s="178"/>
      <c r="H907" s="178"/>
    </row>
    <row r="908" spans="1:8" ht="12.75">
      <c r="A908" s="178"/>
      <c r="B908" s="178"/>
      <c r="C908" s="178"/>
      <c r="D908" s="178"/>
      <c r="E908" s="178"/>
      <c r="F908" s="178"/>
      <c r="G908" s="178"/>
      <c r="H908" s="178"/>
    </row>
    <row r="909" spans="1:8" ht="12.75">
      <c r="A909" s="178"/>
      <c r="B909" s="178"/>
      <c r="C909" s="178"/>
      <c r="D909" s="178"/>
      <c r="E909" s="178"/>
      <c r="F909" s="178"/>
      <c r="G909" s="178"/>
      <c r="H909" s="178"/>
    </row>
    <row r="910" spans="1:8" ht="12.75">
      <c r="A910" s="178"/>
      <c r="B910" s="178"/>
      <c r="C910" s="178"/>
      <c r="D910" s="178"/>
      <c r="E910" s="178"/>
      <c r="F910" s="178"/>
      <c r="G910" s="178"/>
      <c r="H910" s="178"/>
    </row>
    <row r="911" spans="1:8" ht="12.75">
      <c r="A911" s="178"/>
      <c r="B911" s="178"/>
      <c r="C911" s="178"/>
      <c r="D911" s="178"/>
      <c r="E911" s="178"/>
      <c r="F911" s="178"/>
      <c r="G911" s="178"/>
      <c r="H911" s="178"/>
    </row>
    <row r="912" spans="1:8" ht="12.75">
      <c r="A912" s="178"/>
      <c r="B912" s="178"/>
      <c r="C912" s="178"/>
      <c r="D912" s="178"/>
      <c r="E912" s="178"/>
      <c r="F912" s="178"/>
      <c r="G912" s="178"/>
      <c r="H912" s="178"/>
    </row>
    <row r="913" spans="1:8" ht="12.75">
      <c r="A913" s="178"/>
      <c r="B913" s="178"/>
      <c r="C913" s="178"/>
      <c r="D913" s="178"/>
      <c r="E913" s="178"/>
      <c r="F913" s="178"/>
      <c r="G913" s="178"/>
      <c r="H913" s="178"/>
    </row>
    <row r="914" spans="1:8" ht="12.75">
      <c r="A914" s="178"/>
      <c r="B914" s="178"/>
      <c r="C914" s="178"/>
      <c r="D914" s="178"/>
      <c r="E914" s="178"/>
      <c r="F914" s="178"/>
      <c r="G914" s="178"/>
      <c r="H914" s="178"/>
    </row>
    <row r="915" spans="1:8" ht="12.75">
      <c r="A915" s="178"/>
      <c r="B915" s="178"/>
      <c r="C915" s="178"/>
      <c r="D915" s="178"/>
      <c r="E915" s="178"/>
      <c r="F915" s="178"/>
      <c r="G915" s="178"/>
      <c r="H915" s="178"/>
    </row>
    <row r="916" spans="1:8" ht="12.75">
      <c r="A916" s="178"/>
      <c r="B916" s="178"/>
      <c r="C916" s="178"/>
      <c r="D916" s="178"/>
      <c r="E916" s="178"/>
      <c r="F916" s="178"/>
      <c r="G916" s="178"/>
      <c r="H916" s="178"/>
    </row>
    <row r="917" spans="1:8" ht="12.75">
      <c r="A917" s="178"/>
      <c r="B917" s="178"/>
      <c r="C917" s="178"/>
      <c r="D917" s="178"/>
      <c r="E917" s="178"/>
      <c r="F917" s="178"/>
      <c r="G917" s="178"/>
      <c r="H917" s="178"/>
    </row>
    <row r="918" spans="1:8" ht="12.75">
      <c r="A918" s="178"/>
      <c r="B918" s="178"/>
      <c r="C918" s="178"/>
      <c r="D918" s="178"/>
      <c r="E918" s="178"/>
      <c r="F918" s="178"/>
      <c r="G918" s="178"/>
      <c r="H918" s="178"/>
    </row>
    <row r="919" spans="1:8" ht="12.75">
      <c r="A919" s="178"/>
      <c r="B919" s="178"/>
      <c r="C919" s="178"/>
      <c r="D919" s="178"/>
      <c r="E919" s="178"/>
      <c r="F919" s="178"/>
      <c r="G919" s="178"/>
      <c r="H919" s="178"/>
    </row>
    <row r="920" spans="1:8" ht="12.75">
      <c r="A920" s="178"/>
      <c r="B920" s="178"/>
      <c r="C920" s="178"/>
      <c r="D920" s="178"/>
      <c r="E920" s="178"/>
      <c r="F920" s="178"/>
      <c r="G920" s="178"/>
      <c r="H920" s="178"/>
    </row>
    <row r="921" spans="1:8" ht="12.75">
      <c r="A921" s="178"/>
      <c r="B921" s="178"/>
      <c r="C921" s="178"/>
      <c r="D921" s="178"/>
      <c r="E921" s="178"/>
      <c r="F921" s="178"/>
      <c r="G921" s="178"/>
      <c r="H921" s="178"/>
    </row>
    <row r="922" spans="1:8" ht="12.75">
      <c r="A922" s="178"/>
      <c r="B922" s="178"/>
      <c r="C922" s="178"/>
      <c r="D922" s="178"/>
      <c r="E922" s="178"/>
      <c r="F922" s="178"/>
      <c r="G922" s="178"/>
      <c r="H922" s="178"/>
    </row>
    <row r="923" spans="1:8" ht="12.75">
      <c r="A923" s="178"/>
      <c r="B923" s="178"/>
      <c r="C923" s="178"/>
      <c r="D923" s="178"/>
      <c r="E923" s="178"/>
      <c r="F923" s="178"/>
      <c r="G923" s="178"/>
      <c r="H923" s="178"/>
    </row>
    <row r="924" spans="1:8" ht="12.75">
      <c r="A924" s="178"/>
      <c r="B924" s="178"/>
      <c r="C924" s="178"/>
      <c r="D924" s="178"/>
      <c r="E924" s="178"/>
      <c r="F924" s="178"/>
      <c r="G924" s="178"/>
      <c r="H924" s="178"/>
    </row>
    <row r="925" spans="1:8" ht="12.75">
      <c r="A925" s="178"/>
      <c r="B925" s="178"/>
      <c r="C925" s="178"/>
      <c r="D925" s="178"/>
      <c r="E925" s="178"/>
      <c r="F925" s="178"/>
      <c r="G925" s="178"/>
      <c r="H925" s="178"/>
    </row>
    <row r="926" spans="1:8" ht="12.75">
      <c r="A926" s="178"/>
      <c r="B926" s="178"/>
      <c r="C926" s="178"/>
      <c r="D926" s="178"/>
      <c r="E926" s="178"/>
      <c r="F926" s="178"/>
      <c r="G926" s="178"/>
      <c r="H926" s="178"/>
    </row>
    <row r="927" spans="1:8" ht="12.75">
      <c r="A927" s="178"/>
      <c r="B927" s="178"/>
      <c r="C927" s="178"/>
      <c r="D927" s="178"/>
      <c r="E927" s="178"/>
      <c r="F927" s="178"/>
      <c r="G927" s="178"/>
      <c r="H927" s="178"/>
    </row>
    <row r="928" spans="1:8" ht="12.75">
      <c r="A928" s="178"/>
      <c r="B928" s="178"/>
      <c r="C928" s="178"/>
      <c r="D928" s="178"/>
      <c r="E928" s="178"/>
      <c r="F928" s="178"/>
      <c r="G928" s="178"/>
      <c r="H928" s="178"/>
    </row>
    <row r="929" spans="1:8" ht="12.75">
      <c r="A929" s="178"/>
      <c r="B929" s="178"/>
      <c r="C929" s="178"/>
      <c r="D929" s="178"/>
      <c r="E929" s="178"/>
      <c r="F929" s="178"/>
      <c r="G929" s="178"/>
      <c r="H929" s="178"/>
    </row>
    <row r="930" spans="1:8" ht="12.75">
      <c r="A930" s="178"/>
      <c r="B930" s="178"/>
      <c r="C930" s="178"/>
      <c r="D930" s="178"/>
      <c r="E930" s="178"/>
      <c r="F930" s="178"/>
      <c r="G930" s="178"/>
      <c r="H930" s="178"/>
    </row>
    <row r="931" spans="1:8" ht="12.75">
      <c r="A931" s="178"/>
      <c r="B931" s="178"/>
      <c r="C931" s="178"/>
      <c r="D931" s="178"/>
      <c r="E931" s="178"/>
      <c r="F931" s="178"/>
      <c r="G931" s="178"/>
      <c r="H931" s="178"/>
    </row>
    <row r="932" spans="1:8" ht="12.75">
      <c r="A932" s="178"/>
      <c r="B932" s="178"/>
      <c r="C932" s="178"/>
      <c r="D932" s="178"/>
      <c r="E932" s="178"/>
      <c r="F932" s="178"/>
      <c r="G932" s="178"/>
      <c r="H932" s="178"/>
    </row>
    <row r="933" spans="1:8" ht="12.75">
      <c r="A933" s="178"/>
      <c r="B933" s="178"/>
      <c r="C933" s="178"/>
      <c r="D933" s="178"/>
      <c r="E933" s="178"/>
      <c r="F933" s="178"/>
      <c r="G933" s="178"/>
      <c r="H933" s="178"/>
    </row>
    <row r="934" spans="1:8" ht="12.75">
      <c r="A934" s="178"/>
      <c r="B934" s="178"/>
      <c r="C934" s="178"/>
      <c r="D934" s="178"/>
      <c r="E934" s="178"/>
      <c r="F934" s="178"/>
      <c r="G934" s="178"/>
      <c r="H934" s="178"/>
    </row>
    <row r="935" spans="1:8" ht="12.75">
      <c r="A935" s="178"/>
      <c r="B935" s="178"/>
      <c r="C935" s="178"/>
      <c r="D935" s="178"/>
      <c r="E935" s="178"/>
      <c r="F935" s="178"/>
      <c r="G935" s="178"/>
      <c r="H935" s="178"/>
    </row>
    <row r="936" spans="1:8" ht="12.75">
      <c r="A936" s="178"/>
      <c r="B936" s="178"/>
      <c r="C936" s="178"/>
      <c r="D936" s="178"/>
      <c r="E936" s="178"/>
      <c r="F936" s="178"/>
      <c r="G936" s="178"/>
      <c r="H936" s="178"/>
    </row>
    <row r="937" spans="1:8" ht="12.75">
      <c r="A937" s="178"/>
      <c r="B937" s="178"/>
      <c r="C937" s="178"/>
      <c r="D937" s="178"/>
      <c r="E937" s="178"/>
      <c r="F937" s="178"/>
      <c r="G937" s="178"/>
      <c r="H937" s="178"/>
    </row>
    <row r="938" spans="1:8" ht="12.75">
      <c r="A938" s="178"/>
      <c r="B938" s="178"/>
      <c r="C938" s="178"/>
      <c r="D938" s="178"/>
      <c r="E938" s="178"/>
      <c r="F938" s="178"/>
      <c r="G938" s="178"/>
      <c r="H938" s="178"/>
    </row>
    <row r="939" spans="1:8" ht="12.75">
      <c r="A939" s="178"/>
      <c r="B939" s="178"/>
      <c r="C939" s="178"/>
      <c r="D939" s="178"/>
      <c r="E939" s="178"/>
      <c r="F939" s="178"/>
      <c r="G939" s="178"/>
      <c r="H939" s="178"/>
    </row>
    <row r="940" spans="1:8" ht="12.75">
      <c r="A940" s="178"/>
      <c r="B940" s="178"/>
      <c r="C940" s="178"/>
      <c r="D940" s="178"/>
      <c r="E940" s="178"/>
      <c r="F940" s="178"/>
      <c r="G940" s="178"/>
      <c r="H940" s="178"/>
    </row>
    <row r="941" spans="1:8" ht="12.75">
      <c r="A941" s="178"/>
      <c r="B941" s="178"/>
      <c r="C941" s="178"/>
      <c r="D941" s="178"/>
      <c r="E941" s="178"/>
      <c r="F941" s="178"/>
      <c r="G941" s="178"/>
      <c r="H941" s="178"/>
    </row>
    <row r="942" spans="1:8" ht="12.75">
      <c r="A942" s="178"/>
      <c r="B942" s="178"/>
      <c r="C942" s="178"/>
      <c r="D942" s="178"/>
      <c r="E942" s="178"/>
      <c r="F942" s="178"/>
      <c r="G942" s="178"/>
      <c r="H942" s="178"/>
    </row>
    <row r="943" spans="1:8" ht="12.75">
      <c r="A943" s="178"/>
      <c r="B943" s="178"/>
      <c r="C943" s="178"/>
      <c r="D943" s="178"/>
      <c r="E943" s="178"/>
      <c r="F943" s="178"/>
      <c r="G943" s="178"/>
      <c r="H943" s="178"/>
    </row>
    <row r="944" spans="1:8" ht="12.75">
      <c r="A944" s="178"/>
      <c r="B944" s="178"/>
      <c r="C944" s="178"/>
      <c r="D944" s="178"/>
      <c r="E944" s="178"/>
      <c r="F944" s="178"/>
      <c r="G944" s="178"/>
      <c r="H944" s="178"/>
    </row>
    <row r="945" spans="1:8" ht="12.75">
      <c r="A945" s="178"/>
      <c r="B945" s="178"/>
      <c r="C945" s="178"/>
      <c r="D945" s="178"/>
      <c r="E945" s="178"/>
      <c r="F945" s="178"/>
      <c r="G945" s="178"/>
      <c r="H945" s="178"/>
    </row>
    <row r="946" spans="1:8" ht="12.75">
      <c r="A946" s="178"/>
      <c r="B946" s="178"/>
      <c r="C946" s="178"/>
      <c r="D946" s="178"/>
      <c r="E946" s="178"/>
      <c r="F946" s="178"/>
      <c r="G946" s="178"/>
      <c r="H946" s="178"/>
    </row>
    <row r="947" spans="1:8" ht="12.75">
      <c r="A947" s="178"/>
      <c r="B947" s="178"/>
      <c r="C947" s="178"/>
      <c r="D947" s="178"/>
      <c r="E947" s="178"/>
      <c r="F947" s="178"/>
      <c r="G947" s="178"/>
      <c r="H947" s="178"/>
    </row>
    <row r="948" spans="1:8" ht="12.75">
      <c r="A948" s="178"/>
      <c r="B948" s="178"/>
      <c r="C948" s="178"/>
      <c r="D948" s="178"/>
      <c r="E948" s="178"/>
      <c r="F948" s="178"/>
      <c r="G948" s="178"/>
      <c r="H948" s="178"/>
    </row>
    <row r="949" spans="1:8" ht="12.75">
      <c r="A949" s="178"/>
      <c r="B949" s="178"/>
      <c r="C949" s="178"/>
      <c r="D949" s="178"/>
      <c r="E949" s="178"/>
      <c r="F949" s="178"/>
      <c r="G949" s="178"/>
      <c r="H949" s="178"/>
    </row>
    <row r="950" spans="1:8" ht="12.75">
      <c r="A950" s="178"/>
      <c r="B950" s="178"/>
      <c r="C950" s="178"/>
      <c r="D950" s="178"/>
      <c r="E950" s="178"/>
      <c r="F950" s="178"/>
      <c r="G950" s="178"/>
      <c r="H950" s="178"/>
    </row>
    <row r="951" spans="1:8" ht="12.75">
      <c r="A951" s="178"/>
      <c r="B951" s="178"/>
      <c r="C951" s="178"/>
      <c r="D951" s="178"/>
      <c r="E951" s="178"/>
      <c r="F951" s="178"/>
      <c r="G951" s="178"/>
      <c r="H951" s="178"/>
    </row>
    <row r="952" spans="1:8" ht="12.75">
      <c r="A952" s="178"/>
      <c r="B952" s="178"/>
      <c r="C952" s="178"/>
      <c r="D952" s="178"/>
      <c r="E952" s="178"/>
      <c r="F952" s="178"/>
      <c r="G952" s="178"/>
      <c r="H952" s="178"/>
    </row>
    <row r="953" spans="1:8" ht="12.75">
      <c r="A953" s="178"/>
      <c r="B953" s="178"/>
      <c r="C953" s="178"/>
      <c r="D953" s="178"/>
      <c r="E953" s="178"/>
      <c r="F953" s="178"/>
      <c r="G953" s="178"/>
      <c r="H953" s="178"/>
    </row>
    <row r="954" spans="1:8" ht="12.75">
      <c r="A954" s="178"/>
      <c r="B954" s="178"/>
      <c r="C954" s="178"/>
      <c r="D954" s="178"/>
      <c r="E954" s="178"/>
      <c r="F954" s="178"/>
      <c r="G954" s="178"/>
      <c r="H954" s="178"/>
    </row>
    <row r="955" spans="1:8" ht="12.75">
      <c r="A955" s="178"/>
      <c r="B955" s="178"/>
      <c r="C955" s="178"/>
      <c r="D955" s="178"/>
      <c r="E955" s="178"/>
      <c r="F955" s="178"/>
      <c r="G955" s="178"/>
      <c r="H955" s="178"/>
    </row>
    <row r="956" spans="1:8" ht="12.75">
      <c r="A956" s="178"/>
      <c r="B956" s="178"/>
      <c r="C956" s="178"/>
      <c r="D956" s="178"/>
      <c r="E956" s="178"/>
      <c r="F956" s="178"/>
      <c r="G956" s="178"/>
      <c r="H956" s="178"/>
    </row>
    <row r="957" spans="1:8" ht="12.75">
      <c r="A957" s="178"/>
      <c r="B957" s="178"/>
      <c r="C957" s="178"/>
      <c r="D957" s="178"/>
      <c r="E957" s="178"/>
      <c r="F957" s="178"/>
      <c r="G957" s="178"/>
      <c r="H957" s="178"/>
    </row>
    <row r="958" spans="1:8" ht="12.75">
      <c r="A958" s="178"/>
      <c r="B958" s="178"/>
      <c r="C958" s="178"/>
      <c r="D958" s="178"/>
      <c r="E958" s="178"/>
      <c r="F958" s="178"/>
      <c r="G958" s="178"/>
      <c r="H958" s="178"/>
    </row>
    <row r="959" spans="1:8" ht="12.75">
      <c r="A959" s="178"/>
      <c r="B959" s="178"/>
      <c r="C959" s="178"/>
      <c r="D959" s="178"/>
      <c r="E959" s="178"/>
      <c r="F959" s="178"/>
      <c r="G959" s="178"/>
      <c r="H959" s="178"/>
    </row>
    <row r="960" spans="1:8" ht="12.75">
      <c r="A960" s="178"/>
      <c r="B960" s="178"/>
      <c r="C960" s="178"/>
      <c r="D960" s="178"/>
      <c r="E960" s="178"/>
      <c r="F960" s="178"/>
      <c r="G960" s="178"/>
      <c r="H960" s="178"/>
    </row>
    <row r="961" spans="1:8" ht="12.75">
      <c r="A961" s="178"/>
      <c r="B961" s="178"/>
      <c r="C961" s="178"/>
      <c r="D961" s="178"/>
      <c r="E961" s="178"/>
      <c r="F961" s="178"/>
      <c r="G961" s="178"/>
      <c r="H961" s="178"/>
    </row>
    <row r="962" spans="1:8" ht="12.75">
      <c r="A962" s="178"/>
      <c r="B962" s="178"/>
      <c r="C962" s="178"/>
      <c r="D962" s="178"/>
      <c r="E962" s="178"/>
      <c r="F962" s="178"/>
      <c r="G962" s="178"/>
      <c r="H962" s="178"/>
    </row>
    <row r="963" spans="1:8" ht="12.75">
      <c r="A963" s="178"/>
      <c r="B963" s="178"/>
      <c r="C963" s="178"/>
      <c r="D963" s="178"/>
      <c r="E963" s="178"/>
      <c r="F963" s="178"/>
      <c r="G963" s="178"/>
      <c r="H963" s="178"/>
    </row>
    <row r="964" spans="1:8" ht="12.75">
      <c r="A964" s="178"/>
      <c r="B964" s="178"/>
      <c r="C964" s="178"/>
      <c r="D964" s="178"/>
      <c r="E964" s="178"/>
      <c r="F964" s="178"/>
      <c r="G964" s="178"/>
      <c r="H964" s="178"/>
    </row>
    <row r="965" spans="1:8" ht="12.75">
      <c r="A965" s="178"/>
      <c r="B965" s="178"/>
      <c r="C965" s="178"/>
      <c r="D965" s="178"/>
      <c r="E965" s="178"/>
      <c r="F965" s="178"/>
      <c r="G965" s="178"/>
      <c r="H965" s="178"/>
    </row>
    <row r="966" spans="1:8" ht="12.75">
      <c r="A966" s="178"/>
      <c r="B966" s="178"/>
      <c r="C966" s="178"/>
      <c r="D966" s="178"/>
      <c r="E966" s="178"/>
      <c r="F966" s="178"/>
      <c r="G966" s="178"/>
      <c r="H966" s="178"/>
    </row>
    <row r="967" spans="1:8" ht="12.75">
      <c r="A967" s="178"/>
      <c r="B967" s="178"/>
      <c r="C967" s="178"/>
      <c r="D967" s="178"/>
      <c r="E967" s="178"/>
      <c r="F967" s="178"/>
      <c r="G967" s="178"/>
      <c r="H967" s="178"/>
    </row>
    <row r="968" spans="1:8" ht="12.75">
      <c r="A968" s="178"/>
      <c r="B968" s="178"/>
      <c r="C968" s="178"/>
      <c r="D968" s="178"/>
      <c r="E968" s="178"/>
      <c r="F968" s="178"/>
      <c r="G968" s="178"/>
      <c r="H968" s="178"/>
    </row>
    <row r="969" spans="1:8" ht="12.75">
      <c r="A969" s="178"/>
      <c r="B969" s="178"/>
      <c r="C969" s="178"/>
      <c r="D969" s="178"/>
      <c r="E969" s="178"/>
      <c r="F969" s="178"/>
      <c r="G969" s="178"/>
      <c r="H969" s="178"/>
    </row>
    <row r="970" spans="1:8" ht="12.75">
      <c r="A970" s="178"/>
      <c r="B970" s="178"/>
      <c r="C970" s="178"/>
      <c r="D970" s="178"/>
      <c r="E970" s="178"/>
      <c r="F970" s="178"/>
      <c r="G970" s="178"/>
      <c r="H970" s="178"/>
    </row>
    <row r="971" spans="1:8" ht="12.75">
      <c r="A971" s="178"/>
      <c r="B971" s="178"/>
      <c r="C971" s="178"/>
      <c r="D971" s="178"/>
      <c r="E971" s="178"/>
      <c r="F971" s="178"/>
      <c r="G971" s="178"/>
      <c r="H971" s="178"/>
    </row>
    <row r="972" spans="1:8" ht="12.75">
      <c r="A972" s="178"/>
      <c r="B972" s="178"/>
      <c r="C972" s="178"/>
      <c r="D972" s="178"/>
      <c r="E972" s="178"/>
      <c r="F972" s="178"/>
      <c r="G972" s="178"/>
      <c r="H972" s="178"/>
    </row>
    <row r="973" spans="1:8" ht="12.75">
      <c r="A973" s="178"/>
      <c r="B973" s="178"/>
      <c r="C973" s="178"/>
      <c r="D973" s="178"/>
      <c r="E973" s="178"/>
      <c r="F973" s="178"/>
      <c r="G973" s="178"/>
      <c r="H973" s="178"/>
    </row>
    <row r="974" spans="1:8" ht="12.75">
      <c r="A974" s="178"/>
      <c r="B974" s="178"/>
      <c r="C974" s="178"/>
      <c r="D974" s="178"/>
      <c r="E974" s="178"/>
      <c r="F974" s="178"/>
      <c r="G974" s="178"/>
      <c r="H974" s="178"/>
    </row>
    <row r="975" spans="1:8" ht="12.75">
      <c r="A975" s="178"/>
      <c r="B975" s="178"/>
      <c r="C975" s="178"/>
      <c r="D975" s="178"/>
      <c r="E975" s="178"/>
      <c r="F975" s="178"/>
      <c r="G975" s="178"/>
      <c r="H975" s="178"/>
    </row>
    <row r="976" spans="1:8" ht="12.75">
      <c r="A976" s="178"/>
      <c r="B976" s="178"/>
      <c r="C976" s="178"/>
      <c r="D976" s="178"/>
      <c r="E976" s="178"/>
      <c r="F976" s="178"/>
      <c r="G976" s="178"/>
      <c r="H976" s="178"/>
    </row>
    <row r="977" spans="1:8" ht="12.75">
      <c r="A977" s="178"/>
      <c r="B977" s="178"/>
      <c r="C977" s="178"/>
      <c r="D977" s="178"/>
      <c r="E977" s="178"/>
      <c r="F977" s="178"/>
      <c r="G977" s="178"/>
      <c r="H977" s="178"/>
    </row>
    <row r="978" spans="1:8" ht="12.75">
      <c r="A978" s="178"/>
      <c r="B978" s="178"/>
      <c r="C978" s="178"/>
      <c r="D978" s="178"/>
      <c r="E978" s="178"/>
      <c r="F978" s="178"/>
      <c r="G978" s="178"/>
      <c r="H978" s="178"/>
    </row>
    <row r="979" spans="1:8" ht="12.75">
      <c r="A979" s="178"/>
      <c r="B979" s="178"/>
      <c r="C979" s="178"/>
      <c r="D979" s="178"/>
      <c r="E979" s="178"/>
      <c r="F979" s="178"/>
      <c r="G979" s="178"/>
      <c r="H979" s="178"/>
    </row>
    <row r="980" spans="1:8" ht="12.75">
      <c r="A980" s="178"/>
      <c r="B980" s="178"/>
      <c r="C980" s="178"/>
      <c r="D980" s="178"/>
      <c r="E980" s="178"/>
      <c r="F980" s="178"/>
      <c r="G980" s="178"/>
      <c r="H980" s="178"/>
    </row>
    <row r="981" spans="1:8" ht="12.75">
      <c r="A981" s="178"/>
      <c r="B981" s="178"/>
      <c r="C981" s="178"/>
      <c r="D981" s="178"/>
      <c r="E981" s="178"/>
      <c r="F981" s="178"/>
      <c r="G981" s="178"/>
      <c r="H981" s="178"/>
    </row>
    <row r="982" spans="1:8" ht="12.75">
      <c r="A982" s="178"/>
      <c r="B982" s="178"/>
      <c r="C982" s="178"/>
      <c r="D982" s="178"/>
      <c r="E982" s="178"/>
      <c r="F982" s="178"/>
      <c r="G982" s="178"/>
      <c r="H982" s="178"/>
    </row>
  </sheetData>
  <mergeCells count="41">
    <mergeCell ref="J84:K84"/>
    <mergeCell ref="A60:A63"/>
    <mergeCell ref="J16:J17"/>
    <mergeCell ref="J18:J21"/>
    <mergeCell ref="I2:K2"/>
    <mergeCell ref="A5:B5"/>
    <mergeCell ref="I5:K5"/>
    <mergeCell ref="A6:A11"/>
    <mergeCell ref="I6:I24"/>
    <mergeCell ref="J6:J11"/>
    <mergeCell ref="J12:J15"/>
    <mergeCell ref="J24:K24"/>
    <mergeCell ref="J40:J43"/>
    <mergeCell ref="J44:K44"/>
    <mergeCell ref="I28:I44"/>
    <mergeCell ref="I48:I63"/>
    <mergeCell ref="A12:A15"/>
    <mergeCell ref="A16:A17"/>
    <mergeCell ref="A48:A53"/>
    <mergeCell ref="A54:A57"/>
    <mergeCell ref="A58:A59"/>
    <mergeCell ref="J60:J63"/>
    <mergeCell ref="J64:K64"/>
    <mergeCell ref="I67:K67"/>
    <mergeCell ref="J68:J73"/>
    <mergeCell ref="D6:D11"/>
    <mergeCell ref="D12:D17"/>
    <mergeCell ref="I68:I83"/>
    <mergeCell ref="J74:J77"/>
    <mergeCell ref="J78:J79"/>
    <mergeCell ref="J80:J83"/>
    <mergeCell ref="J38:J39"/>
    <mergeCell ref="I47:K47"/>
    <mergeCell ref="J48:J53"/>
    <mergeCell ref="J54:J57"/>
    <mergeCell ref="J58:J59"/>
    <mergeCell ref="J22:K22"/>
    <mergeCell ref="J23:K23"/>
    <mergeCell ref="I27:K27"/>
    <mergeCell ref="J28:J33"/>
    <mergeCell ref="J34:J37"/>
  </mergeCells>
  <phoneticPr fontId="86" type="noConversion"/>
  <conditionalFormatting sqref="L48:N59 AA51:AF51 AC59:AF63 AA63:AB63">
    <cfRule type="cellIs" dxfId="19" priority="2" operator="lessThanOrEqual">
      <formula>0</formula>
    </cfRule>
  </conditionalFormatting>
  <conditionalFormatting sqref="L68:AF83">
    <cfRule type="colorScale" priority="1">
      <colorScale>
        <cfvo type="formula" val="0"/>
        <cfvo type="formula" val="3"/>
        <cfvo type="formula" val="15"/>
        <color rgb="FF9FC5E8"/>
        <color rgb="FFFFFFFF"/>
        <color rgb="FFE67C73"/>
      </colorScale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99A9D"/>
    <outlinePr summaryBelow="0" summaryRight="0"/>
  </sheetPr>
  <dimension ref="A1:AG982"/>
  <sheetViews>
    <sheetView workbookViewId="0"/>
  </sheetViews>
  <sheetFormatPr defaultColWidth="14.42578125" defaultRowHeight="15.75" customHeight="1" outlineLevelRow="1"/>
  <cols>
    <col min="1" max="2" width="10.7109375" customWidth="1"/>
    <col min="3" max="3" width="13.140625" customWidth="1"/>
    <col min="4" max="4" width="12.140625" customWidth="1"/>
    <col min="5" max="8" width="10.7109375" customWidth="1"/>
    <col min="9" max="9" width="15.85546875" customWidth="1"/>
    <col min="12" max="20" width="14.42578125" hidden="1"/>
  </cols>
  <sheetData>
    <row r="1" spans="1:33" ht="15.75" customHeight="1">
      <c r="A1" s="178"/>
      <c r="B1" s="178"/>
      <c r="C1" s="178"/>
      <c r="D1" s="178"/>
      <c r="E1" s="178"/>
      <c r="F1" s="178"/>
      <c r="G1" s="178"/>
      <c r="H1" s="178"/>
      <c r="I1" s="179"/>
      <c r="J1" s="180"/>
      <c r="K1" s="180"/>
    </row>
    <row r="2" spans="1:33" ht="15.75" customHeight="1">
      <c r="A2" s="178"/>
      <c r="B2" s="178"/>
      <c r="C2" s="178"/>
      <c r="D2" s="178"/>
      <c r="E2" s="178"/>
      <c r="F2" s="178"/>
      <c r="G2" s="178"/>
      <c r="H2" s="178"/>
      <c r="I2" s="904" t="s">
        <v>91</v>
      </c>
      <c r="J2" s="905"/>
      <c r="K2" s="905"/>
      <c r="R2" s="182" t="s">
        <v>92</v>
      </c>
      <c r="W2" s="7" t="s">
        <v>93</v>
      </c>
      <c r="X2" s="183" t="s">
        <v>95</v>
      </c>
      <c r="Y2" s="184" t="s">
        <v>95</v>
      </c>
      <c r="Z2" s="184" t="s">
        <v>96</v>
      </c>
      <c r="AA2" s="7" t="s">
        <v>97</v>
      </c>
    </row>
    <row r="3" spans="1:33">
      <c r="A3" s="178"/>
      <c r="B3" s="178"/>
      <c r="C3" s="178"/>
      <c r="D3" s="178"/>
      <c r="E3" s="178"/>
      <c r="F3" s="178"/>
      <c r="G3" s="178"/>
      <c r="H3" s="178"/>
      <c r="I3" s="185"/>
      <c r="J3" s="186"/>
      <c r="K3" s="186" t="s">
        <v>98</v>
      </c>
      <c r="U3" s="7" t="s">
        <v>99</v>
      </c>
      <c r="V3" s="7"/>
      <c r="W3" s="7">
        <v>2</v>
      </c>
      <c r="X3" s="7">
        <v>3</v>
      </c>
      <c r="Y3" s="7">
        <v>4</v>
      </c>
      <c r="Z3" s="7">
        <v>5</v>
      </c>
      <c r="AA3" s="7">
        <v>6</v>
      </c>
      <c r="AB3" s="7">
        <v>7</v>
      </c>
      <c r="AC3" s="7">
        <v>8</v>
      </c>
      <c r="AD3" s="7">
        <v>9</v>
      </c>
      <c r="AG3" s="7"/>
    </row>
    <row r="4" spans="1:33" ht="15.75" customHeight="1">
      <c r="A4" s="178"/>
      <c r="B4" s="178"/>
      <c r="C4" s="178"/>
      <c r="D4" s="178"/>
      <c r="E4" s="178"/>
      <c r="F4" s="178"/>
      <c r="G4" s="178"/>
      <c r="H4" s="178"/>
      <c r="I4" s="6">
        <v>1750</v>
      </c>
      <c r="J4" s="186"/>
      <c r="K4" s="186" t="s">
        <v>101</v>
      </c>
      <c r="R4" s="7" t="s">
        <v>102</v>
      </c>
      <c r="S4" s="7" t="s">
        <v>102</v>
      </c>
      <c r="U4" s="7" t="s">
        <v>103</v>
      </c>
      <c r="W4" s="7">
        <v>5</v>
      </c>
      <c r="X4" s="7">
        <v>6</v>
      </c>
      <c r="Y4" s="7">
        <v>7</v>
      </c>
      <c r="Z4" s="7">
        <v>8</v>
      </c>
      <c r="AA4" s="7">
        <v>9</v>
      </c>
      <c r="AB4" s="7">
        <v>10</v>
      </c>
      <c r="AC4" s="7">
        <v>11</v>
      </c>
      <c r="AD4" s="7">
        <v>12</v>
      </c>
      <c r="AG4" s="7"/>
    </row>
    <row r="5" spans="1:33" ht="15.75" customHeight="1">
      <c r="A5" s="906" t="s">
        <v>6</v>
      </c>
      <c r="B5" s="860"/>
      <c r="C5" s="11" t="s">
        <v>7</v>
      </c>
      <c r="D5" s="11" t="s">
        <v>8</v>
      </c>
      <c r="E5" s="11" t="s">
        <v>9</v>
      </c>
      <c r="F5" s="13" t="s">
        <v>105</v>
      </c>
      <c r="G5" s="13" t="s">
        <v>11</v>
      </c>
      <c r="H5" s="13" t="s">
        <v>12</v>
      </c>
      <c r="I5" s="907" t="s">
        <v>13</v>
      </c>
      <c r="J5" s="879"/>
      <c r="K5" s="860"/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5" t="s">
        <v>23</v>
      </c>
      <c r="V5" s="16" t="s">
        <v>107</v>
      </c>
      <c r="W5" s="187" t="s">
        <v>25</v>
      </c>
      <c r="X5" s="14" t="s">
        <v>26</v>
      </c>
      <c r="Y5" s="14" t="s">
        <v>15</v>
      </c>
      <c r="Z5" s="14" t="s">
        <v>16</v>
      </c>
      <c r="AA5" s="14" t="s">
        <v>17</v>
      </c>
      <c r="AB5" s="16" t="s">
        <v>18</v>
      </c>
      <c r="AC5" s="187" t="s">
        <v>19</v>
      </c>
      <c r="AD5" s="18" t="s">
        <v>20</v>
      </c>
      <c r="AE5" s="18" t="s">
        <v>21</v>
      </c>
      <c r="AF5" s="18" t="s">
        <v>22</v>
      </c>
      <c r="AG5" s="7"/>
    </row>
    <row r="6" spans="1:33">
      <c r="A6" s="891" t="s">
        <v>27</v>
      </c>
      <c r="B6" s="188" t="s">
        <v>110</v>
      </c>
      <c r="C6" s="189">
        <v>0</v>
      </c>
      <c r="D6" s="898">
        <f>SUM(C6:C11)</f>
        <v>0</v>
      </c>
      <c r="E6" s="22">
        <f>D6/22</f>
        <v>0</v>
      </c>
      <c r="F6" s="23">
        <f t="shared" ref="F6:F17" si="0">AVERAGE(S28:U28)</f>
        <v>116.33333333333333</v>
      </c>
      <c r="G6" s="22">
        <v>576</v>
      </c>
      <c r="H6" s="22">
        <f t="shared" ref="H6:H17" si="1">AB6/6</f>
        <v>0</v>
      </c>
      <c r="I6" s="908" t="s">
        <v>28</v>
      </c>
      <c r="J6" s="891" t="s">
        <v>27</v>
      </c>
      <c r="K6" s="190" t="s">
        <v>110</v>
      </c>
      <c r="L6" s="28"/>
      <c r="M6" s="28"/>
      <c r="N6" s="28">
        <v>540</v>
      </c>
      <c r="O6" s="28">
        <v>282</v>
      </c>
      <c r="P6" s="28">
        <v>1080</v>
      </c>
      <c r="Q6" s="28">
        <v>540</v>
      </c>
      <c r="R6" s="28">
        <v>270</v>
      </c>
      <c r="S6" s="28"/>
      <c r="T6" s="28">
        <v>1620</v>
      </c>
      <c r="U6" s="191"/>
      <c r="V6" s="192"/>
      <c r="W6" s="193"/>
      <c r="X6" s="28"/>
      <c r="Y6" s="28"/>
      <c r="Z6" s="28"/>
      <c r="AA6" s="28"/>
      <c r="AB6" s="192">
        <v>0</v>
      </c>
      <c r="AC6" s="193"/>
      <c r="AD6" s="194"/>
      <c r="AE6" s="194"/>
      <c r="AF6" s="194"/>
      <c r="AG6" s="7"/>
    </row>
    <row r="7" spans="1:33">
      <c r="A7" s="865"/>
      <c r="B7" s="188">
        <v>1</v>
      </c>
      <c r="C7" s="189">
        <v>0</v>
      </c>
      <c r="D7" s="865"/>
      <c r="E7" s="22"/>
      <c r="F7" s="23">
        <f t="shared" si="0"/>
        <v>762</v>
      </c>
      <c r="G7" s="22">
        <v>432</v>
      </c>
      <c r="H7" s="22">
        <f t="shared" si="1"/>
        <v>0</v>
      </c>
      <c r="I7" s="869"/>
      <c r="J7" s="865"/>
      <c r="K7" s="190">
        <v>1</v>
      </c>
      <c r="L7" s="196">
        <v>2700</v>
      </c>
      <c r="M7" s="196"/>
      <c r="N7" s="196">
        <v>2160</v>
      </c>
      <c r="O7" s="196">
        <v>5400</v>
      </c>
      <c r="P7" s="196">
        <v>2970</v>
      </c>
      <c r="Q7" s="196">
        <v>2220</v>
      </c>
      <c r="R7" s="196">
        <v>1620</v>
      </c>
      <c r="S7" s="196"/>
      <c r="T7" s="196">
        <v>3780</v>
      </c>
      <c r="U7" s="191"/>
      <c r="V7" s="192"/>
      <c r="W7" s="197"/>
      <c r="X7" s="196"/>
      <c r="Y7" s="196"/>
      <c r="Z7" s="196"/>
      <c r="AA7" s="196"/>
      <c r="AB7" s="192">
        <v>0</v>
      </c>
      <c r="AC7" s="197"/>
      <c r="AD7" s="194"/>
      <c r="AE7" s="194"/>
      <c r="AF7" s="194"/>
      <c r="AG7" s="7"/>
    </row>
    <row r="8" spans="1:33">
      <c r="A8" s="865"/>
      <c r="B8" s="188" t="s">
        <v>119</v>
      </c>
      <c r="C8" s="189">
        <v>0</v>
      </c>
      <c r="D8" s="865"/>
      <c r="E8" s="22"/>
      <c r="F8" s="23">
        <f t="shared" si="0"/>
        <v>229</v>
      </c>
      <c r="G8" s="22">
        <v>600</v>
      </c>
      <c r="H8" s="22">
        <f t="shared" si="1"/>
        <v>0</v>
      </c>
      <c r="I8" s="869"/>
      <c r="J8" s="865"/>
      <c r="K8" s="190" t="s">
        <v>119</v>
      </c>
      <c r="L8" s="196">
        <v>2736</v>
      </c>
      <c r="M8" s="196"/>
      <c r="N8" s="196"/>
      <c r="O8" s="196"/>
      <c r="P8" s="196">
        <v>7140</v>
      </c>
      <c r="Q8" s="196"/>
      <c r="R8" s="196"/>
      <c r="S8" s="196">
        <v>3480</v>
      </c>
      <c r="T8" s="196">
        <v>3240</v>
      </c>
      <c r="U8" s="191"/>
      <c r="V8" s="192"/>
      <c r="W8" s="283">
        <f>1620*4+192*4-7248</f>
        <v>0</v>
      </c>
      <c r="X8" s="196"/>
      <c r="Y8" s="196"/>
      <c r="Z8" s="196"/>
      <c r="AA8" s="196"/>
      <c r="AB8" s="192">
        <v>0</v>
      </c>
      <c r="AC8" s="200"/>
      <c r="AD8" s="200"/>
      <c r="AE8" s="200"/>
      <c r="AF8" s="200"/>
      <c r="AG8" s="7"/>
    </row>
    <row r="9" spans="1:33">
      <c r="A9" s="865"/>
      <c r="B9" s="188">
        <v>2</v>
      </c>
      <c r="C9" s="189">
        <v>0</v>
      </c>
      <c r="D9" s="865"/>
      <c r="E9" s="22"/>
      <c r="F9" s="23">
        <f t="shared" si="0"/>
        <v>1318.6666666666667</v>
      </c>
      <c r="G9" s="22">
        <v>720</v>
      </c>
      <c r="H9" s="22">
        <f t="shared" si="1"/>
        <v>0</v>
      </c>
      <c r="I9" s="869"/>
      <c r="J9" s="865"/>
      <c r="K9" s="190">
        <v>2</v>
      </c>
      <c r="L9" s="196"/>
      <c r="M9" s="196"/>
      <c r="N9" s="196">
        <v>540</v>
      </c>
      <c r="O9" s="196"/>
      <c r="P9" s="196">
        <v>1620</v>
      </c>
      <c r="Q9" s="196">
        <v>1080</v>
      </c>
      <c r="R9" s="196">
        <v>1080</v>
      </c>
      <c r="S9" s="196"/>
      <c r="T9" s="196">
        <v>7830</v>
      </c>
      <c r="U9" s="191"/>
      <c r="V9" s="192"/>
      <c r="W9" s="197"/>
      <c r="X9" s="196"/>
      <c r="Y9" s="201">
        <f>5940-5940</f>
        <v>0</v>
      </c>
      <c r="Z9" s="196"/>
      <c r="AA9" s="196"/>
      <c r="AB9" s="192">
        <v>0</v>
      </c>
      <c r="AC9" s="197"/>
      <c r="AD9" s="194"/>
      <c r="AE9" s="194"/>
      <c r="AF9" s="194"/>
      <c r="AG9" s="7"/>
    </row>
    <row r="10" spans="1:33">
      <c r="A10" s="865"/>
      <c r="B10" s="188" t="s">
        <v>124</v>
      </c>
      <c r="C10" s="189">
        <v>0</v>
      </c>
      <c r="D10" s="865"/>
      <c r="E10" s="22"/>
      <c r="F10" s="23">
        <f t="shared" si="0"/>
        <v>601.66666666666663</v>
      </c>
      <c r="G10" s="22">
        <v>600</v>
      </c>
      <c r="H10" s="22">
        <f t="shared" si="1"/>
        <v>0</v>
      </c>
      <c r="I10" s="869"/>
      <c r="J10" s="865"/>
      <c r="K10" s="190" t="s">
        <v>124</v>
      </c>
      <c r="L10" s="196">
        <v>2472</v>
      </c>
      <c r="M10" s="196"/>
      <c r="N10" s="196"/>
      <c r="O10" s="196"/>
      <c r="P10" s="196">
        <v>6368</v>
      </c>
      <c r="Q10" s="196">
        <v>4548</v>
      </c>
      <c r="R10" s="196">
        <v>2152</v>
      </c>
      <c r="S10" s="196">
        <v>3680</v>
      </c>
      <c r="T10" s="196">
        <v>8196</v>
      </c>
      <c r="U10" s="191">
        <v>4840</v>
      </c>
      <c r="V10" s="192"/>
      <c r="W10" s="197"/>
      <c r="X10" s="196"/>
      <c r="Y10" s="196"/>
      <c r="Z10" s="196"/>
      <c r="AA10" s="196"/>
      <c r="AB10" s="192">
        <v>0</v>
      </c>
      <c r="AC10" s="197"/>
      <c r="AD10" s="194"/>
      <c r="AE10" s="194"/>
      <c r="AF10" s="194"/>
      <c r="AG10" s="7"/>
    </row>
    <row r="11" spans="1:33">
      <c r="A11" s="866"/>
      <c r="B11" s="188">
        <v>3</v>
      </c>
      <c r="C11" s="189">
        <v>0</v>
      </c>
      <c r="D11" s="866"/>
      <c r="E11" s="22"/>
      <c r="F11" s="23">
        <f t="shared" si="0"/>
        <v>253</v>
      </c>
      <c r="G11" s="22">
        <v>144</v>
      </c>
      <c r="H11" s="22">
        <f t="shared" si="1"/>
        <v>0</v>
      </c>
      <c r="I11" s="869"/>
      <c r="J11" s="866"/>
      <c r="K11" s="190">
        <v>3</v>
      </c>
      <c r="L11" s="196"/>
      <c r="M11" s="196"/>
      <c r="N11" s="196">
        <v>1620</v>
      </c>
      <c r="O11" s="196">
        <v>270</v>
      </c>
      <c r="P11" s="196"/>
      <c r="Q11" s="196">
        <v>540</v>
      </c>
      <c r="R11" s="196"/>
      <c r="S11" s="196"/>
      <c r="T11" s="202">
        <f>3780+810</f>
        <v>4590</v>
      </c>
      <c r="U11" s="191"/>
      <c r="V11" s="192"/>
      <c r="W11" s="197"/>
      <c r="X11" s="196"/>
      <c r="Y11" s="196"/>
      <c r="Z11" s="196"/>
      <c r="AA11" s="196"/>
      <c r="AB11" s="192">
        <v>0</v>
      </c>
      <c r="AC11" s="197"/>
      <c r="AD11" s="194"/>
      <c r="AE11" s="194"/>
      <c r="AF11" s="194"/>
      <c r="AG11" s="7"/>
    </row>
    <row r="12" spans="1:33">
      <c r="A12" s="892" t="s">
        <v>32</v>
      </c>
      <c r="B12" s="203" t="s">
        <v>110</v>
      </c>
      <c r="C12" s="204">
        <v>0</v>
      </c>
      <c r="D12" s="899">
        <f>SUM(C12:C17)</f>
        <v>0</v>
      </c>
      <c r="E12" s="22">
        <f>D12/25</f>
        <v>0</v>
      </c>
      <c r="F12" s="23">
        <f t="shared" si="0"/>
        <v>2476</v>
      </c>
      <c r="G12" s="22">
        <v>1248</v>
      </c>
      <c r="H12" s="22">
        <f t="shared" si="1"/>
        <v>0</v>
      </c>
      <c r="I12" s="869"/>
      <c r="J12" s="892" t="s">
        <v>32</v>
      </c>
      <c r="K12" s="205" t="s">
        <v>110</v>
      </c>
      <c r="L12" s="196">
        <v>4224</v>
      </c>
      <c r="M12" s="196">
        <v>14076</v>
      </c>
      <c r="N12" s="196">
        <v>10364</v>
      </c>
      <c r="O12" s="196">
        <v>25824</v>
      </c>
      <c r="P12" s="196">
        <v>17036</v>
      </c>
      <c r="Q12" s="196">
        <v>4304</v>
      </c>
      <c r="R12" s="196"/>
      <c r="S12" s="196">
        <v>29184</v>
      </c>
      <c r="T12" s="196"/>
      <c r="U12" s="201">
        <v>1536</v>
      </c>
      <c r="V12" s="192"/>
      <c r="W12" s="197"/>
      <c r="X12" s="196"/>
      <c r="Y12" s="196"/>
      <c r="Z12" s="196"/>
      <c r="AA12" s="196"/>
      <c r="AB12" s="192">
        <f t="shared" ref="AB12:AB15" si="2">96*4*$C12</f>
        <v>0</v>
      </c>
      <c r="AC12" s="197"/>
      <c r="AD12" s="194"/>
      <c r="AE12" s="194"/>
      <c r="AF12" s="194"/>
      <c r="AG12" s="7"/>
    </row>
    <row r="13" spans="1:33">
      <c r="A13" s="865"/>
      <c r="B13" s="203">
        <v>1</v>
      </c>
      <c r="C13" s="204">
        <v>0</v>
      </c>
      <c r="D13" s="865"/>
      <c r="E13" s="22"/>
      <c r="F13" s="23">
        <f t="shared" si="0"/>
        <v>4865.666666666667</v>
      </c>
      <c r="G13" s="22">
        <v>1248</v>
      </c>
      <c r="H13" s="22">
        <f t="shared" si="1"/>
        <v>0</v>
      </c>
      <c r="I13" s="869"/>
      <c r="J13" s="865"/>
      <c r="K13" s="205">
        <v>1</v>
      </c>
      <c r="L13" s="196">
        <v>32988</v>
      </c>
      <c r="M13" s="196">
        <v>4608</v>
      </c>
      <c r="N13" s="196">
        <v>22656</v>
      </c>
      <c r="O13" s="196">
        <v>83564</v>
      </c>
      <c r="P13" s="196">
        <v>23448</v>
      </c>
      <c r="Q13" s="196"/>
      <c r="R13" s="196"/>
      <c r="S13" s="196">
        <v>30528</v>
      </c>
      <c r="T13" s="196"/>
      <c r="U13" s="201">
        <v>10368</v>
      </c>
      <c r="V13" s="192"/>
      <c r="W13" s="197"/>
      <c r="X13" s="196"/>
      <c r="Y13" s="196"/>
      <c r="Z13" s="196"/>
      <c r="AA13" s="196"/>
      <c r="AB13" s="192">
        <f t="shared" si="2"/>
        <v>0</v>
      </c>
      <c r="AC13" s="197"/>
      <c r="AD13" s="194"/>
      <c r="AE13" s="194"/>
      <c r="AF13" s="194"/>
      <c r="AG13" s="7"/>
    </row>
    <row r="14" spans="1:33">
      <c r="A14" s="865"/>
      <c r="B14" s="203">
        <v>2</v>
      </c>
      <c r="C14" s="204">
        <v>0</v>
      </c>
      <c r="D14" s="865"/>
      <c r="E14" s="22"/>
      <c r="F14" s="23">
        <f t="shared" si="0"/>
        <v>8297.3333333333339</v>
      </c>
      <c r="G14" s="22">
        <v>1632</v>
      </c>
      <c r="H14" s="22">
        <f t="shared" si="1"/>
        <v>0</v>
      </c>
      <c r="I14" s="869"/>
      <c r="J14" s="865"/>
      <c r="K14" s="205">
        <v>2</v>
      </c>
      <c r="L14" s="196">
        <v>13824</v>
      </c>
      <c r="M14" s="196">
        <v>45432</v>
      </c>
      <c r="N14" s="196">
        <v>43776</v>
      </c>
      <c r="O14" s="196">
        <v>38400</v>
      </c>
      <c r="P14" s="196">
        <v>21032</v>
      </c>
      <c r="Q14" s="196">
        <v>29628</v>
      </c>
      <c r="R14" s="196">
        <v>5660</v>
      </c>
      <c r="S14" s="196">
        <v>33124</v>
      </c>
      <c r="T14" s="196"/>
      <c r="U14" s="201">
        <v>14208</v>
      </c>
      <c r="V14" s="192"/>
      <c r="W14" s="197"/>
      <c r="X14" s="196"/>
      <c r="Y14" s="196"/>
      <c r="Z14" s="196"/>
      <c r="AA14" s="196"/>
      <c r="AB14" s="192">
        <f t="shared" si="2"/>
        <v>0</v>
      </c>
      <c r="AC14" s="197"/>
      <c r="AD14" s="194"/>
      <c r="AE14" s="194"/>
      <c r="AF14" s="194"/>
      <c r="AG14" s="7"/>
    </row>
    <row r="15" spans="1:33">
      <c r="A15" s="866"/>
      <c r="B15" s="203" t="s">
        <v>131</v>
      </c>
      <c r="C15" s="204">
        <v>0</v>
      </c>
      <c r="D15" s="865"/>
      <c r="E15" s="22"/>
      <c r="F15" s="23">
        <f t="shared" si="0"/>
        <v>1378</v>
      </c>
      <c r="G15" s="22"/>
      <c r="H15" s="22">
        <f t="shared" si="1"/>
        <v>0</v>
      </c>
      <c r="I15" s="869"/>
      <c r="J15" s="866"/>
      <c r="K15" s="205" t="s">
        <v>131</v>
      </c>
      <c r="L15" s="196">
        <v>384</v>
      </c>
      <c r="M15" s="196">
        <v>4736</v>
      </c>
      <c r="N15" s="196">
        <v>3236</v>
      </c>
      <c r="O15" s="196">
        <v>8744</v>
      </c>
      <c r="P15" s="196">
        <v>3624</v>
      </c>
      <c r="Q15" s="196">
        <v>2068</v>
      </c>
      <c r="R15" s="196">
        <v>3380</v>
      </c>
      <c r="S15" s="196">
        <v>1920</v>
      </c>
      <c r="T15" s="196"/>
      <c r="U15" s="201">
        <v>3456</v>
      </c>
      <c r="V15" s="192"/>
      <c r="W15" s="197"/>
      <c r="X15" s="196"/>
      <c r="Y15" s="196"/>
      <c r="Z15" s="196"/>
      <c r="AA15" s="196"/>
      <c r="AB15" s="192">
        <f t="shared" si="2"/>
        <v>0</v>
      </c>
      <c r="AC15" s="197"/>
      <c r="AD15" s="194"/>
      <c r="AE15" s="194"/>
      <c r="AF15" s="194"/>
      <c r="AG15" s="7"/>
    </row>
    <row r="16" spans="1:33">
      <c r="A16" s="893" t="s">
        <v>132</v>
      </c>
      <c r="B16" s="208" t="s">
        <v>133</v>
      </c>
      <c r="C16" s="209">
        <v>0</v>
      </c>
      <c r="D16" s="865"/>
      <c r="E16" s="22"/>
      <c r="F16" s="23">
        <f t="shared" si="0"/>
        <v>215.33333333333334</v>
      </c>
      <c r="G16" s="22"/>
      <c r="H16" s="22">
        <f t="shared" si="1"/>
        <v>0</v>
      </c>
      <c r="I16" s="869"/>
      <c r="J16" s="893" t="s">
        <v>132</v>
      </c>
      <c r="K16" s="210" t="s">
        <v>133</v>
      </c>
      <c r="L16" s="211"/>
      <c r="M16" s="117">
        <v>1008</v>
      </c>
      <c r="N16" s="117"/>
      <c r="O16" s="117"/>
      <c r="P16" s="117"/>
      <c r="Q16" s="117"/>
      <c r="R16" s="117"/>
      <c r="S16" s="117"/>
      <c r="T16" s="117"/>
      <c r="U16" s="202">
        <v>3024</v>
      </c>
      <c r="V16" s="212"/>
      <c r="W16" s="197"/>
      <c r="X16" s="117"/>
      <c r="Y16" s="117"/>
      <c r="Z16" s="117"/>
      <c r="AA16" s="117"/>
      <c r="AB16" s="212">
        <f t="shared" ref="AB16:AB17" si="3">42*24*$C16</f>
        <v>0</v>
      </c>
      <c r="AC16" s="197"/>
      <c r="AD16" s="213"/>
      <c r="AE16" s="213"/>
      <c r="AF16" s="213"/>
      <c r="AG16" s="7"/>
    </row>
    <row r="17" spans="1:33">
      <c r="A17" s="866"/>
      <c r="B17" s="208" t="s">
        <v>134</v>
      </c>
      <c r="C17" s="209">
        <v>0</v>
      </c>
      <c r="D17" s="866"/>
      <c r="E17" s="22"/>
      <c r="F17" s="23">
        <f t="shared" si="0"/>
        <v>205.33333333333334</v>
      </c>
      <c r="G17" s="22"/>
      <c r="H17" s="22">
        <f t="shared" si="1"/>
        <v>0</v>
      </c>
      <c r="I17" s="869"/>
      <c r="J17" s="866"/>
      <c r="K17" s="210" t="s">
        <v>134</v>
      </c>
      <c r="L17" s="211"/>
      <c r="M17" s="211"/>
      <c r="N17" s="117">
        <v>1008</v>
      </c>
      <c r="O17" s="117">
        <v>1008</v>
      </c>
      <c r="P17" s="117"/>
      <c r="Q17" s="117"/>
      <c r="R17" s="117"/>
      <c r="S17" s="117"/>
      <c r="T17" s="117"/>
      <c r="U17" s="191"/>
      <c r="V17" s="212"/>
      <c r="W17" s="216"/>
      <c r="X17" s="117"/>
      <c r="Y17" s="117"/>
      <c r="Z17" s="117"/>
      <c r="AA17" s="214">
        <v>1008</v>
      </c>
      <c r="AB17" s="215">
        <f t="shared" si="3"/>
        <v>0</v>
      </c>
      <c r="AC17" s="216"/>
      <c r="AD17" s="213"/>
      <c r="AE17" s="213"/>
      <c r="AF17" s="213"/>
      <c r="AG17" s="7"/>
    </row>
    <row r="18" spans="1:33" ht="15.75" customHeight="1">
      <c r="A18" s="178"/>
      <c r="B18" s="178"/>
      <c r="C18" s="178"/>
      <c r="D18" s="178"/>
      <c r="E18" s="178"/>
      <c r="F18" s="178"/>
      <c r="G18" s="178"/>
      <c r="H18" s="178"/>
      <c r="I18" s="869"/>
      <c r="J18" s="895" t="s">
        <v>135</v>
      </c>
      <c r="K18" s="217" t="s">
        <v>136</v>
      </c>
      <c r="L18" s="211"/>
      <c r="M18" s="211"/>
      <c r="N18" s="117">
        <v>3432</v>
      </c>
      <c r="O18" s="117"/>
      <c r="P18" s="117">
        <v>3432</v>
      </c>
      <c r="Q18" s="117">
        <v>6864</v>
      </c>
      <c r="R18" s="117"/>
      <c r="S18" s="117"/>
      <c r="T18" s="117"/>
      <c r="U18" s="218">
        <v>3432</v>
      </c>
      <c r="V18" s="219"/>
      <c r="W18" s="284"/>
      <c r="X18" s="220"/>
      <c r="Y18" s="117"/>
      <c r="Z18" s="117"/>
      <c r="AA18" s="117"/>
      <c r="AB18" s="221">
        <v>3432</v>
      </c>
      <c r="AC18" s="222"/>
      <c r="AD18" s="284"/>
      <c r="AE18" s="213"/>
      <c r="AF18" s="213"/>
      <c r="AG18" s="7"/>
    </row>
    <row r="19" spans="1:33">
      <c r="A19" s="178"/>
      <c r="B19" s="1"/>
      <c r="C19" s="178"/>
      <c r="D19" s="178"/>
      <c r="E19" s="178"/>
      <c r="F19" s="178"/>
      <c r="G19" s="178"/>
      <c r="H19" s="178"/>
      <c r="I19" s="869"/>
      <c r="J19" s="865"/>
      <c r="K19" s="217" t="s">
        <v>137</v>
      </c>
      <c r="L19" s="211"/>
      <c r="M19" s="211"/>
      <c r="N19" s="117">
        <v>3432</v>
      </c>
      <c r="O19" s="117"/>
      <c r="P19" s="117">
        <v>3432</v>
      </c>
      <c r="Q19" s="117">
        <v>6864</v>
      </c>
      <c r="R19" s="117"/>
      <c r="S19" s="117"/>
      <c r="T19" s="117"/>
      <c r="U19" s="218">
        <v>3432</v>
      </c>
      <c r="V19" s="212"/>
      <c r="W19" s="284"/>
      <c r="X19" s="220"/>
      <c r="Y19" s="117"/>
      <c r="Z19" s="117"/>
      <c r="AA19" s="117"/>
      <c r="AB19" s="117">
        <v>3432</v>
      </c>
      <c r="AC19" s="212"/>
      <c r="AD19" s="284"/>
      <c r="AE19" s="213"/>
      <c r="AF19" s="213"/>
      <c r="AG19" s="7"/>
    </row>
    <row r="20" spans="1:33" ht="15.75" customHeight="1">
      <c r="A20" s="178"/>
      <c r="B20" s="178"/>
      <c r="C20" s="178"/>
      <c r="D20" s="178"/>
      <c r="E20" s="178"/>
      <c r="F20" s="178"/>
      <c r="G20" s="178"/>
      <c r="H20" s="178"/>
      <c r="I20" s="869"/>
      <c r="J20" s="865"/>
      <c r="K20" s="217" t="s">
        <v>138</v>
      </c>
      <c r="L20" s="211"/>
      <c r="M20" s="211"/>
      <c r="N20" s="117">
        <v>3432</v>
      </c>
      <c r="O20" s="117"/>
      <c r="P20" s="117">
        <v>3432</v>
      </c>
      <c r="Q20" s="117"/>
      <c r="R20" s="117"/>
      <c r="S20" s="117"/>
      <c r="T20" s="117"/>
      <c r="U20" s="218">
        <v>3432</v>
      </c>
      <c r="V20" s="212"/>
      <c r="W20" s="284"/>
      <c r="X20" s="220"/>
      <c r="Y20" s="117"/>
      <c r="Z20" s="117"/>
      <c r="AA20" s="117"/>
      <c r="AB20" s="117">
        <v>6864</v>
      </c>
      <c r="AC20" s="212"/>
      <c r="AD20" s="284"/>
      <c r="AE20" s="213"/>
      <c r="AF20" s="213"/>
      <c r="AG20" s="7"/>
    </row>
    <row r="21" spans="1:33" ht="15.75" customHeight="1">
      <c r="A21" s="178"/>
      <c r="B21" s="178"/>
      <c r="C21" s="178"/>
      <c r="D21" s="178"/>
      <c r="E21" s="178"/>
      <c r="F21" s="178"/>
      <c r="G21" s="178"/>
      <c r="H21" s="178"/>
      <c r="I21" s="869"/>
      <c r="J21" s="866"/>
      <c r="K21" s="217" t="s">
        <v>139</v>
      </c>
      <c r="L21" s="211"/>
      <c r="M21" s="211"/>
      <c r="N21" s="117">
        <v>3432</v>
      </c>
      <c r="O21" s="117"/>
      <c r="P21" s="117">
        <v>3432</v>
      </c>
      <c r="Q21" s="117"/>
      <c r="R21" s="117"/>
      <c r="S21" s="117"/>
      <c r="T21" s="117"/>
      <c r="U21" s="218">
        <v>3432</v>
      </c>
      <c r="V21" s="212"/>
      <c r="W21" s="284"/>
      <c r="X21" s="220"/>
      <c r="Y21" s="117"/>
      <c r="Z21" s="117"/>
      <c r="AA21" s="117"/>
      <c r="AB21" s="117">
        <v>6864</v>
      </c>
      <c r="AC21" s="215"/>
      <c r="AD21" s="284"/>
      <c r="AE21" s="213"/>
      <c r="AF21" s="213"/>
      <c r="AG21" s="7"/>
    </row>
    <row r="22" spans="1:33" ht="15.75" customHeight="1">
      <c r="A22" s="178"/>
      <c r="B22" s="178"/>
      <c r="C22" s="178"/>
      <c r="D22" s="178"/>
      <c r="E22" s="178"/>
      <c r="F22" s="178"/>
      <c r="G22" s="178"/>
      <c r="H22" s="178"/>
      <c r="I22" s="869"/>
      <c r="J22" s="889" t="s">
        <v>38</v>
      </c>
      <c r="K22" s="860"/>
      <c r="L22" s="224">
        <f t="shared" ref="L22:AF22" si="4">SUM(L6:L21)</f>
        <v>59328</v>
      </c>
      <c r="M22" s="224">
        <f t="shared" si="4"/>
        <v>69860</v>
      </c>
      <c r="N22" s="224">
        <f t="shared" si="4"/>
        <v>99628</v>
      </c>
      <c r="O22" s="224">
        <f t="shared" si="4"/>
        <v>163492</v>
      </c>
      <c r="P22" s="224">
        <f t="shared" si="4"/>
        <v>98046</v>
      </c>
      <c r="Q22" s="224">
        <f t="shared" si="4"/>
        <v>58656</v>
      </c>
      <c r="R22" s="224">
        <f t="shared" si="4"/>
        <v>14162</v>
      </c>
      <c r="S22" s="224">
        <f t="shared" si="4"/>
        <v>101916</v>
      </c>
      <c r="T22" s="224">
        <f t="shared" si="4"/>
        <v>29256</v>
      </c>
      <c r="U22" s="224">
        <f t="shared" si="4"/>
        <v>51160</v>
      </c>
      <c r="V22" s="225">
        <f t="shared" si="4"/>
        <v>0</v>
      </c>
      <c r="W22" s="286">
        <f t="shared" si="4"/>
        <v>0</v>
      </c>
      <c r="X22" s="226">
        <f t="shared" si="4"/>
        <v>0</v>
      </c>
      <c r="Y22" s="224">
        <f t="shared" si="4"/>
        <v>0</v>
      </c>
      <c r="Z22" s="224">
        <f t="shared" si="4"/>
        <v>0</v>
      </c>
      <c r="AA22" s="224">
        <f t="shared" si="4"/>
        <v>1008</v>
      </c>
      <c r="AB22" s="224">
        <f t="shared" si="4"/>
        <v>20592</v>
      </c>
      <c r="AC22" s="227">
        <f t="shared" si="4"/>
        <v>0</v>
      </c>
      <c r="AD22" s="228">
        <f t="shared" si="4"/>
        <v>0</v>
      </c>
      <c r="AE22" s="228">
        <f t="shared" si="4"/>
        <v>0</v>
      </c>
      <c r="AF22" s="228">
        <f t="shared" si="4"/>
        <v>0</v>
      </c>
      <c r="AG22" s="7"/>
    </row>
    <row r="23" spans="1:33" ht="15.75" customHeight="1">
      <c r="A23" s="178"/>
      <c r="B23" s="178"/>
      <c r="C23" s="178"/>
      <c r="D23" s="178"/>
      <c r="E23" s="178"/>
      <c r="F23" s="178"/>
      <c r="G23" s="178"/>
      <c r="H23" s="178"/>
      <c r="I23" s="869"/>
      <c r="J23" s="889" t="s">
        <v>39</v>
      </c>
      <c r="K23" s="860"/>
      <c r="L23" s="224">
        <f>금액!E34</f>
        <v>1131080.52</v>
      </c>
      <c r="M23" s="224">
        <f>금액!F34</f>
        <v>1283335.2</v>
      </c>
      <c r="N23" s="224">
        <f>금액!G34</f>
        <v>1628142.52</v>
      </c>
      <c r="O23" s="224">
        <f>금액!H34</f>
        <v>3034407.52</v>
      </c>
      <c r="P23" s="224">
        <f>금액!I34</f>
        <v>1526571.14</v>
      </c>
      <c r="Q23" s="224">
        <f>금액!J34</f>
        <v>827218.72000000009</v>
      </c>
      <c r="R23" s="224">
        <f>금액!K34</f>
        <v>187967.86</v>
      </c>
      <c r="S23" s="224">
        <f>금액!L34</f>
        <v>1951046.48</v>
      </c>
      <c r="T23" s="224">
        <f>금액!M34</f>
        <v>506087.28</v>
      </c>
      <c r="U23" s="224">
        <f>금액!N34</f>
        <v>646481.04000000015</v>
      </c>
      <c r="V23" s="225">
        <f>금액!O34</f>
        <v>0</v>
      </c>
      <c r="W23" s="286">
        <f>금액!P34</f>
        <v>0</v>
      </c>
      <c r="X23" s="226">
        <f>금액!Q34</f>
        <v>0</v>
      </c>
      <c r="Y23" s="224">
        <f>금액!R34</f>
        <v>0</v>
      </c>
      <c r="Z23" s="224">
        <f>금액!S34</f>
        <v>0</v>
      </c>
      <c r="AA23" s="224">
        <f>금액!T34</f>
        <v>8709.1200000000008</v>
      </c>
      <c r="AB23" s="224">
        <f>금액!U34</f>
        <v>31711.68</v>
      </c>
      <c r="AC23" s="228">
        <f>금액!V34</f>
        <v>0</v>
      </c>
      <c r="AD23" s="228">
        <f>금액!W34</f>
        <v>0</v>
      </c>
      <c r="AE23" s="228">
        <f>금액!X34</f>
        <v>0</v>
      </c>
      <c r="AF23" s="228">
        <f>금액!Y34</f>
        <v>0</v>
      </c>
      <c r="AG23" s="7"/>
    </row>
    <row r="24" spans="1:33" ht="15.75" customHeight="1">
      <c r="A24" s="178"/>
      <c r="B24" s="178"/>
      <c r="C24" s="178"/>
      <c r="D24" s="178"/>
      <c r="E24" s="178"/>
      <c r="F24" s="178"/>
      <c r="G24" s="178"/>
      <c r="H24" s="178"/>
      <c r="I24" s="870"/>
      <c r="J24" s="889" t="s">
        <v>40</v>
      </c>
      <c r="K24" s="860"/>
      <c r="L24" s="224">
        <f t="shared" ref="L24:AF24" si="5">L23*$I$4</f>
        <v>1979390910</v>
      </c>
      <c r="M24" s="224">
        <f t="shared" si="5"/>
        <v>2245836600</v>
      </c>
      <c r="N24" s="224">
        <f t="shared" si="5"/>
        <v>2849249410</v>
      </c>
      <c r="O24" s="224">
        <f t="shared" si="5"/>
        <v>5310213160</v>
      </c>
      <c r="P24" s="224">
        <f t="shared" si="5"/>
        <v>2671499495</v>
      </c>
      <c r="Q24" s="224">
        <f t="shared" si="5"/>
        <v>1447632760.0000002</v>
      </c>
      <c r="R24" s="224">
        <f t="shared" si="5"/>
        <v>328943755</v>
      </c>
      <c r="S24" s="224">
        <f t="shared" si="5"/>
        <v>3414331340</v>
      </c>
      <c r="T24" s="224">
        <f t="shared" si="5"/>
        <v>885652740</v>
      </c>
      <c r="U24" s="224">
        <f t="shared" si="5"/>
        <v>1131341820.0000002</v>
      </c>
      <c r="V24" s="232">
        <f t="shared" si="5"/>
        <v>0</v>
      </c>
      <c r="W24" s="286">
        <f t="shared" si="5"/>
        <v>0</v>
      </c>
      <c r="X24" s="226">
        <f t="shared" si="5"/>
        <v>0</v>
      </c>
      <c r="Y24" s="224">
        <f t="shared" si="5"/>
        <v>0</v>
      </c>
      <c r="Z24" s="224">
        <f t="shared" si="5"/>
        <v>0</v>
      </c>
      <c r="AA24" s="224">
        <f t="shared" si="5"/>
        <v>15240960.000000002</v>
      </c>
      <c r="AB24" s="224">
        <f t="shared" si="5"/>
        <v>55495440</v>
      </c>
      <c r="AC24" s="228">
        <f t="shared" si="5"/>
        <v>0</v>
      </c>
      <c r="AD24" s="228">
        <f t="shared" si="5"/>
        <v>0</v>
      </c>
      <c r="AE24" s="228">
        <f t="shared" si="5"/>
        <v>0</v>
      </c>
      <c r="AF24" s="228">
        <f t="shared" si="5"/>
        <v>0</v>
      </c>
      <c r="AG24" s="7"/>
    </row>
    <row r="25" spans="1:33" ht="15.75" customHeight="1">
      <c r="A25" s="178"/>
      <c r="B25" s="178"/>
      <c r="C25" s="178"/>
      <c r="D25" s="178"/>
      <c r="E25" s="178"/>
      <c r="F25" s="178"/>
      <c r="G25" s="178"/>
      <c r="H25" s="178"/>
      <c r="I25" s="235"/>
      <c r="J25" s="236"/>
      <c r="K25" s="236"/>
      <c r="AG25" s="7"/>
    </row>
    <row r="26" spans="1:33" ht="15.75" customHeight="1">
      <c r="B26" s="178"/>
      <c r="C26" s="178"/>
      <c r="D26" s="178"/>
      <c r="E26" s="178"/>
      <c r="F26" s="178"/>
      <c r="G26" s="178"/>
      <c r="H26" s="178"/>
      <c r="I26" s="235"/>
      <c r="J26" s="236"/>
      <c r="K26" s="236"/>
      <c r="L26" s="237" t="s">
        <v>41</v>
      </c>
      <c r="M26" s="237" t="s">
        <v>41</v>
      </c>
      <c r="N26" s="237" t="s">
        <v>41</v>
      </c>
      <c r="O26" s="76" t="s">
        <v>41</v>
      </c>
      <c r="P26" s="76" t="s">
        <v>41</v>
      </c>
      <c r="Q26" s="76" t="s">
        <v>41</v>
      </c>
      <c r="R26" s="76" t="s">
        <v>41</v>
      </c>
      <c r="S26" s="76" t="s">
        <v>41</v>
      </c>
      <c r="T26" s="76" t="s">
        <v>41</v>
      </c>
      <c r="U26" s="76" t="s">
        <v>41</v>
      </c>
      <c r="V26" s="77" t="s">
        <v>42</v>
      </c>
      <c r="W26" s="77" t="s">
        <v>42</v>
      </c>
      <c r="X26" s="77" t="s">
        <v>42</v>
      </c>
      <c r="Y26" s="77" t="s">
        <v>42</v>
      </c>
      <c r="Z26" s="77" t="s">
        <v>42</v>
      </c>
      <c r="AA26" s="77" t="s">
        <v>42</v>
      </c>
      <c r="AB26" s="77" t="s">
        <v>42</v>
      </c>
      <c r="AC26" s="77" t="s">
        <v>42</v>
      </c>
      <c r="AD26" s="77" t="s">
        <v>42</v>
      </c>
      <c r="AE26" s="77" t="s">
        <v>42</v>
      </c>
      <c r="AF26" s="77" t="s">
        <v>42</v>
      </c>
      <c r="AG26" s="7"/>
    </row>
    <row r="27" spans="1:33" ht="15.75" customHeight="1" outlineLevel="1">
      <c r="B27" s="178"/>
      <c r="C27" s="178"/>
      <c r="D27" s="178"/>
      <c r="E27" s="178"/>
      <c r="F27" s="178"/>
      <c r="G27" s="178"/>
      <c r="H27" s="178"/>
      <c r="I27" s="890" t="s">
        <v>43</v>
      </c>
      <c r="J27" s="879"/>
      <c r="K27" s="860"/>
      <c r="L27" s="103" t="s">
        <v>14</v>
      </c>
      <c r="M27" s="103" t="s">
        <v>15</v>
      </c>
      <c r="N27" s="103" t="s">
        <v>16</v>
      </c>
      <c r="O27" s="238" t="s">
        <v>17</v>
      </c>
      <c r="P27" s="103" t="s">
        <v>18</v>
      </c>
      <c r="Q27" s="103" t="s">
        <v>19</v>
      </c>
      <c r="R27" s="103" t="s">
        <v>20</v>
      </c>
      <c r="S27" s="103" t="s">
        <v>21</v>
      </c>
      <c r="T27" s="103" t="s">
        <v>22</v>
      </c>
      <c r="U27" s="103" t="s">
        <v>23</v>
      </c>
      <c r="V27" s="239" t="s">
        <v>107</v>
      </c>
      <c r="W27" s="103" t="s">
        <v>25</v>
      </c>
      <c r="X27" s="103" t="s">
        <v>26</v>
      </c>
      <c r="Y27" s="103" t="s">
        <v>15</v>
      </c>
      <c r="Z27" s="103" t="s">
        <v>16</v>
      </c>
      <c r="AA27" s="103" t="s">
        <v>17</v>
      </c>
      <c r="AB27" s="239" t="s">
        <v>18</v>
      </c>
      <c r="AC27" s="240" t="s">
        <v>19</v>
      </c>
      <c r="AD27" s="240" t="s">
        <v>20</v>
      </c>
      <c r="AE27" s="240" t="s">
        <v>21</v>
      </c>
      <c r="AF27" s="240" t="s">
        <v>22</v>
      </c>
      <c r="AG27" s="7"/>
    </row>
    <row r="28" spans="1:33" ht="15.75" customHeight="1" outlineLevel="1">
      <c r="B28" s="178"/>
      <c r="C28" s="178"/>
      <c r="D28" s="178"/>
      <c r="E28" s="178"/>
      <c r="F28" s="178"/>
      <c r="G28" s="178"/>
      <c r="H28" s="178"/>
      <c r="I28" s="910" t="s">
        <v>44</v>
      </c>
      <c r="J28" s="891" t="s">
        <v>27</v>
      </c>
      <c r="K28" s="190" t="s">
        <v>110</v>
      </c>
      <c r="L28" s="116">
        <v>710</v>
      </c>
      <c r="M28" s="116">
        <v>487</v>
      </c>
      <c r="N28" s="116">
        <v>633</v>
      </c>
      <c r="O28" s="116">
        <v>710</v>
      </c>
      <c r="P28" s="116">
        <v>557</v>
      </c>
      <c r="Q28" s="116">
        <v>197</v>
      </c>
      <c r="R28" s="116">
        <v>158</v>
      </c>
      <c r="S28" s="116">
        <v>126</v>
      </c>
      <c r="T28" s="116">
        <v>84</v>
      </c>
      <c r="U28" s="116">
        <v>139</v>
      </c>
      <c r="V28" s="127">
        <v>142</v>
      </c>
      <c r="W28" s="116">
        <v>148</v>
      </c>
      <c r="X28" s="116">
        <v>154</v>
      </c>
      <c r="Y28" s="116">
        <v>151</v>
      </c>
      <c r="Z28" s="116">
        <v>175</v>
      </c>
      <c r="AA28" s="116">
        <v>199</v>
      </c>
      <c r="AB28" s="127">
        <v>223</v>
      </c>
      <c r="AC28" s="213">
        <v>243</v>
      </c>
      <c r="AD28" s="213">
        <v>258</v>
      </c>
      <c r="AE28" s="213">
        <v>270</v>
      </c>
      <c r="AF28" s="213">
        <v>281</v>
      </c>
      <c r="AG28" s="7"/>
    </row>
    <row r="29" spans="1:33" ht="15.75" customHeight="1" outlineLevel="1">
      <c r="B29" s="178"/>
      <c r="C29" s="178"/>
      <c r="D29" s="178"/>
      <c r="E29" s="178"/>
      <c r="F29" s="178"/>
      <c r="G29" s="178"/>
      <c r="H29" s="178"/>
      <c r="I29" s="865"/>
      <c r="J29" s="865"/>
      <c r="K29" s="190">
        <v>1</v>
      </c>
      <c r="L29" s="116">
        <v>2121</v>
      </c>
      <c r="M29" s="116">
        <v>1299</v>
      </c>
      <c r="N29" s="116">
        <v>886</v>
      </c>
      <c r="O29" s="116">
        <v>1736</v>
      </c>
      <c r="P29" s="116">
        <v>1721</v>
      </c>
      <c r="Q29" s="116">
        <v>686</v>
      </c>
      <c r="R29" s="116">
        <v>674</v>
      </c>
      <c r="S29" s="116">
        <v>813</v>
      </c>
      <c r="T29" s="116">
        <v>747</v>
      </c>
      <c r="U29" s="116">
        <v>726</v>
      </c>
      <c r="V29" s="127">
        <v>638</v>
      </c>
      <c r="W29" s="116">
        <v>651</v>
      </c>
      <c r="X29" s="116">
        <v>664</v>
      </c>
      <c r="Y29" s="116">
        <v>657</v>
      </c>
      <c r="Z29" s="116">
        <v>697</v>
      </c>
      <c r="AA29" s="116">
        <v>731</v>
      </c>
      <c r="AB29" s="127">
        <v>761</v>
      </c>
      <c r="AC29" s="213">
        <v>783</v>
      </c>
      <c r="AD29" s="213">
        <v>799</v>
      </c>
      <c r="AE29" s="213">
        <v>823</v>
      </c>
      <c r="AF29" s="213">
        <v>840</v>
      </c>
      <c r="AG29" s="7"/>
    </row>
    <row r="30" spans="1:33" ht="15.75" customHeight="1" outlineLevel="1">
      <c r="B30" s="178"/>
      <c r="C30" s="178"/>
      <c r="D30" s="178"/>
      <c r="E30" s="178"/>
      <c r="F30" s="178"/>
      <c r="G30" s="178"/>
      <c r="H30" s="178"/>
      <c r="I30" s="865"/>
      <c r="J30" s="865"/>
      <c r="K30" s="190" t="s">
        <v>119</v>
      </c>
      <c r="L30" s="116">
        <v>2606</v>
      </c>
      <c r="M30" s="116">
        <v>2088</v>
      </c>
      <c r="N30" s="116">
        <v>1780</v>
      </c>
      <c r="O30" s="116">
        <v>1748</v>
      </c>
      <c r="P30" s="116">
        <v>1404</v>
      </c>
      <c r="Q30" s="116">
        <v>160</v>
      </c>
      <c r="R30" s="116">
        <v>0.1</v>
      </c>
      <c r="S30" s="116">
        <v>100</v>
      </c>
      <c r="T30" s="116">
        <v>297</v>
      </c>
      <c r="U30" s="116">
        <v>290</v>
      </c>
      <c r="V30" s="127">
        <v>300</v>
      </c>
      <c r="W30" s="116">
        <v>345</v>
      </c>
      <c r="X30" s="116">
        <v>424</v>
      </c>
      <c r="Y30" s="116">
        <v>399</v>
      </c>
      <c r="Z30" s="116">
        <v>427</v>
      </c>
      <c r="AA30" s="116">
        <v>440</v>
      </c>
      <c r="AB30" s="127">
        <v>404</v>
      </c>
      <c r="AC30" s="213">
        <v>413</v>
      </c>
      <c r="AD30" s="213">
        <v>499</v>
      </c>
      <c r="AE30" s="213">
        <v>634</v>
      </c>
      <c r="AF30" s="213">
        <v>666</v>
      </c>
      <c r="AG30" s="7"/>
    </row>
    <row r="31" spans="1:33" ht="15.75" customHeight="1" outlineLevel="1">
      <c r="B31" s="178"/>
      <c r="C31" s="178"/>
      <c r="D31" s="178"/>
      <c r="E31" s="178"/>
      <c r="F31" s="178"/>
      <c r="G31" s="178"/>
      <c r="H31" s="178"/>
      <c r="I31" s="865"/>
      <c r="J31" s="865"/>
      <c r="K31" s="190">
        <v>2</v>
      </c>
      <c r="L31" s="116">
        <v>1440</v>
      </c>
      <c r="M31" s="116">
        <v>1250</v>
      </c>
      <c r="N31" s="116">
        <v>1781</v>
      </c>
      <c r="O31" s="116">
        <v>1637</v>
      </c>
      <c r="P31" s="116">
        <v>1868</v>
      </c>
      <c r="Q31" s="116">
        <v>851</v>
      </c>
      <c r="R31" s="116">
        <v>1019</v>
      </c>
      <c r="S31" s="116">
        <v>1413</v>
      </c>
      <c r="T31" s="116">
        <v>1345</v>
      </c>
      <c r="U31" s="116">
        <v>1198</v>
      </c>
      <c r="V31" s="127">
        <v>1151</v>
      </c>
      <c r="W31" s="116">
        <v>1186</v>
      </c>
      <c r="X31" s="116">
        <v>1209</v>
      </c>
      <c r="Y31" s="116">
        <v>1185</v>
      </c>
      <c r="Z31" s="116">
        <v>1232</v>
      </c>
      <c r="AA31" s="116">
        <v>1269</v>
      </c>
      <c r="AB31" s="127">
        <v>1257</v>
      </c>
      <c r="AC31" s="213">
        <v>1219</v>
      </c>
      <c r="AD31" s="213">
        <v>1402</v>
      </c>
      <c r="AE31" s="213">
        <v>1486</v>
      </c>
      <c r="AF31" s="213">
        <v>1531</v>
      </c>
      <c r="AG31" s="7"/>
    </row>
    <row r="32" spans="1:33" ht="15.75" customHeight="1" outlineLevel="1">
      <c r="B32" s="178"/>
      <c r="C32" s="178"/>
      <c r="D32" s="178"/>
      <c r="E32" s="178"/>
      <c r="F32" s="178"/>
      <c r="G32" s="178"/>
      <c r="H32" s="178"/>
      <c r="I32" s="865"/>
      <c r="J32" s="865"/>
      <c r="K32" s="190" t="s">
        <v>124</v>
      </c>
      <c r="L32" s="116">
        <v>2581</v>
      </c>
      <c r="M32" s="116">
        <v>2257</v>
      </c>
      <c r="N32" s="116">
        <v>1933</v>
      </c>
      <c r="O32" s="116">
        <v>2237</v>
      </c>
      <c r="P32" s="116">
        <v>1848</v>
      </c>
      <c r="Q32" s="116">
        <v>808</v>
      </c>
      <c r="R32" s="116">
        <v>694</v>
      </c>
      <c r="S32" s="116">
        <v>636</v>
      </c>
      <c r="T32" s="116">
        <v>592</v>
      </c>
      <c r="U32" s="116">
        <v>577</v>
      </c>
      <c r="V32" s="127">
        <v>577</v>
      </c>
      <c r="W32" s="116">
        <v>612</v>
      </c>
      <c r="X32" s="116">
        <v>740</v>
      </c>
      <c r="Y32" s="116">
        <v>710</v>
      </c>
      <c r="Z32" s="116">
        <v>803</v>
      </c>
      <c r="AA32" s="116">
        <v>827</v>
      </c>
      <c r="AB32" s="127">
        <v>761</v>
      </c>
      <c r="AC32" s="213">
        <v>746</v>
      </c>
      <c r="AD32" s="213">
        <v>842</v>
      </c>
      <c r="AE32" s="213">
        <v>986</v>
      </c>
      <c r="AF32" s="213">
        <v>1015</v>
      </c>
      <c r="AG32" s="7"/>
    </row>
    <row r="33" spans="1:33" ht="15.75" customHeight="1" outlineLevel="1">
      <c r="B33" s="178"/>
      <c r="C33" s="178"/>
      <c r="D33" s="178"/>
      <c r="E33" s="178"/>
      <c r="F33" s="178"/>
      <c r="G33" s="178"/>
      <c r="H33" s="178"/>
      <c r="I33" s="865"/>
      <c r="J33" s="866"/>
      <c r="K33" s="190">
        <v>3</v>
      </c>
      <c r="L33" s="116">
        <v>669</v>
      </c>
      <c r="M33" s="116">
        <v>29</v>
      </c>
      <c r="N33" s="116">
        <v>431</v>
      </c>
      <c r="O33" s="116">
        <v>602</v>
      </c>
      <c r="P33" s="116">
        <v>559</v>
      </c>
      <c r="Q33" s="116">
        <v>85</v>
      </c>
      <c r="R33" s="116">
        <v>297</v>
      </c>
      <c r="S33" s="116">
        <v>240</v>
      </c>
      <c r="T33" s="116">
        <v>225</v>
      </c>
      <c r="U33" s="116">
        <v>294</v>
      </c>
      <c r="V33" s="127">
        <v>311</v>
      </c>
      <c r="W33" s="116">
        <v>317</v>
      </c>
      <c r="X33" s="116">
        <v>320</v>
      </c>
      <c r="Y33" s="116">
        <v>324</v>
      </c>
      <c r="Z33" s="116">
        <v>330</v>
      </c>
      <c r="AA33" s="116">
        <v>337</v>
      </c>
      <c r="AB33" s="127">
        <v>340</v>
      </c>
      <c r="AC33" s="213">
        <v>347</v>
      </c>
      <c r="AD33" s="213">
        <v>350</v>
      </c>
      <c r="AE33" s="213">
        <v>357</v>
      </c>
      <c r="AF33" s="213">
        <v>364</v>
      </c>
      <c r="AG33" s="7"/>
    </row>
    <row r="34" spans="1:33" ht="15.75" customHeight="1" outlineLevel="1">
      <c r="B34" s="178"/>
      <c r="C34" s="178"/>
      <c r="D34" s="178"/>
      <c r="E34" s="178"/>
      <c r="F34" s="178"/>
      <c r="G34" s="178"/>
      <c r="H34" s="178"/>
      <c r="I34" s="865"/>
      <c r="J34" s="892" t="s">
        <v>32</v>
      </c>
      <c r="K34" s="205" t="s">
        <v>110</v>
      </c>
      <c r="L34" s="116">
        <v>9688</v>
      </c>
      <c r="M34" s="116">
        <v>8381</v>
      </c>
      <c r="N34" s="116">
        <v>10566</v>
      </c>
      <c r="O34" s="116">
        <v>12615</v>
      </c>
      <c r="P34" s="116">
        <v>11494</v>
      </c>
      <c r="Q34" s="116">
        <v>4054</v>
      </c>
      <c r="R34" s="116">
        <v>2492</v>
      </c>
      <c r="S34" s="116">
        <v>2360</v>
      </c>
      <c r="T34" s="116">
        <v>2541</v>
      </c>
      <c r="U34" s="117">
        <v>2527</v>
      </c>
      <c r="V34" s="127">
        <v>2561</v>
      </c>
      <c r="W34" s="117">
        <v>2663</v>
      </c>
      <c r="X34" s="117">
        <v>2770</v>
      </c>
      <c r="Y34" s="117">
        <v>2936</v>
      </c>
      <c r="Z34" s="117">
        <v>3171</v>
      </c>
      <c r="AA34" s="117">
        <v>3298</v>
      </c>
      <c r="AB34" s="127">
        <v>3397</v>
      </c>
      <c r="AC34" s="213">
        <v>3499</v>
      </c>
      <c r="AD34" s="213">
        <v>3569</v>
      </c>
      <c r="AE34" s="213">
        <v>3640</v>
      </c>
      <c r="AF34" s="213">
        <v>3749</v>
      </c>
      <c r="AG34" s="7"/>
    </row>
    <row r="35" spans="1:33" ht="15.75" customHeight="1" outlineLevel="1">
      <c r="B35" s="178"/>
      <c r="C35" s="178"/>
      <c r="D35" s="178"/>
      <c r="E35" s="178"/>
      <c r="F35" s="178"/>
      <c r="G35" s="178"/>
      <c r="H35" s="178"/>
      <c r="I35" s="865"/>
      <c r="J35" s="865"/>
      <c r="K35" s="205">
        <v>1</v>
      </c>
      <c r="L35" s="116">
        <v>17360</v>
      </c>
      <c r="M35" s="116">
        <v>15775</v>
      </c>
      <c r="N35" s="116">
        <v>22182</v>
      </c>
      <c r="O35" s="116">
        <v>26587</v>
      </c>
      <c r="P35" s="116">
        <v>22168</v>
      </c>
      <c r="Q35" s="116">
        <v>7554</v>
      </c>
      <c r="R35" s="116">
        <v>4912</v>
      </c>
      <c r="S35" s="116">
        <v>4861</v>
      </c>
      <c r="T35" s="116">
        <v>5004</v>
      </c>
      <c r="U35" s="117">
        <v>4732</v>
      </c>
      <c r="V35" s="127">
        <v>5157</v>
      </c>
      <c r="W35" s="117">
        <v>5312</v>
      </c>
      <c r="X35" s="117">
        <v>5418</v>
      </c>
      <c r="Y35" s="117">
        <v>5526</v>
      </c>
      <c r="Z35" s="117">
        <v>5747</v>
      </c>
      <c r="AA35" s="117">
        <v>5977</v>
      </c>
      <c r="AB35" s="127">
        <v>6097</v>
      </c>
      <c r="AC35" s="213">
        <v>6280</v>
      </c>
      <c r="AD35" s="213">
        <v>6468</v>
      </c>
      <c r="AE35" s="213">
        <v>6597</v>
      </c>
      <c r="AF35" s="213">
        <v>6729</v>
      </c>
      <c r="AG35" s="7"/>
    </row>
    <row r="36" spans="1:33" ht="15.75" customHeight="1" outlineLevel="1">
      <c r="B36" s="178"/>
      <c r="C36" s="178"/>
      <c r="D36" s="178"/>
      <c r="E36" s="178"/>
      <c r="F36" s="178"/>
      <c r="G36" s="178"/>
      <c r="H36" s="178"/>
      <c r="I36" s="865"/>
      <c r="J36" s="865"/>
      <c r="K36" s="205">
        <v>2</v>
      </c>
      <c r="L36" s="116">
        <v>18026</v>
      </c>
      <c r="M36" s="116">
        <v>15580</v>
      </c>
      <c r="N36" s="116">
        <v>23220</v>
      </c>
      <c r="O36" s="116">
        <v>27630</v>
      </c>
      <c r="P36" s="116">
        <v>21263</v>
      </c>
      <c r="Q36" s="116">
        <v>8519</v>
      </c>
      <c r="R36" s="116">
        <v>7444</v>
      </c>
      <c r="S36" s="116">
        <v>7150</v>
      </c>
      <c r="T36" s="116">
        <v>8966</v>
      </c>
      <c r="U36" s="116">
        <v>8776</v>
      </c>
      <c r="V36" s="127">
        <v>8169</v>
      </c>
      <c r="W36" s="116">
        <v>8577</v>
      </c>
      <c r="X36" s="116">
        <v>9006</v>
      </c>
      <c r="Y36" s="116">
        <v>9367</v>
      </c>
      <c r="Z36" s="116">
        <v>9929</v>
      </c>
      <c r="AA36" s="116">
        <v>10326</v>
      </c>
      <c r="AB36" s="127">
        <v>10635</v>
      </c>
      <c r="AC36" s="213">
        <v>10848</v>
      </c>
      <c r="AD36" s="213">
        <v>11174</v>
      </c>
      <c r="AE36" s="213">
        <v>11397</v>
      </c>
      <c r="AF36" s="213">
        <v>11625</v>
      </c>
      <c r="AG36" s="7"/>
    </row>
    <row r="37" spans="1:33" ht="12.75" outlineLevel="1">
      <c r="B37" s="178"/>
      <c r="C37" s="178"/>
      <c r="D37" s="178"/>
      <c r="E37" s="178"/>
      <c r="F37" s="178"/>
      <c r="G37" s="178"/>
      <c r="H37" s="178"/>
      <c r="I37" s="865"/>
      <c r="J37" s="866"/>
      <c r="K37" s="205" t="s">
        <v>131</v>
      </c>
      <c r="L37" s="116">
        <v>2195</v>
      </c>
      <c r="M37" s="116">
        <v>2236</v>
      </c>
      <c r="N37" s="116">
        <v>2623</v>
      </c>
      <c r="O37" s="116">
        <v>2997</v>
      </c>
      <c r="P37" s="116">
        <v>2547</v>
      </c>
      <c r="Q37" s="116">
        <v>1354</v>
      </c>
      <c r="R37" s="116">
        <v>1298</v>
      </c>
      <c r="S37" s="116">
        <v>1236</v>
      </c>
      <c r="T37" s="116">
        <v>1438</v>
      </c>
      <c r="U37" s="116">
        <v>1460</v>
      </c>
      <c r="V37" s="127">
        <v>1392</v>
      </c>
      <c r="W37" s="116">
        <v>1420</v>
      </c>
      <c r="X37" s="116">
        <v>1448</v>
      </c>
      <c r="Y37" s="116">
        <v>1477</v>
      </c>
      <c r="Z37" s="116">
        <v>1566</v>
      </c>
      <c r="AA37" s="116">
        <v>1675</v>
      </c>
      <c r="AB37" s="127">
        <v>1726</v>
      </c>
      <c r="AC37" s="213">
        <v>1777</v>
      </c>
      <c r="AD37" s="213">
        <v>1831</v>
      </c>
      <c r="AE37" s="213">
        <v>1867</v>
      </c>
      <c r="AF37" s="213">
        <v>1905</v>
      </c>
      <c r="AG37" s="7"/>
    </row>
    <row r="38" spans="1:33" ht="12.75" outlineLevel="1">
      <c r="B38" s="178"/>
      <c r="C38" s="178"/>
      <c r="D38" s="178"/>
      <c r="E38" s="178"/>
      <c r="F38" s="178"/>
      <c r="G38" s="178"/>
      <c r="H38" s="178"/>
      <c r="I38" s="865"/>
      <c r="J38" s="893" t="s">
        <v>132</v>
      </c>
      <c r="K38" s="210" t="s">
        <v>133</v>
      </c>
      <c r="L38" s="116">
        <v>332</v>
      </c>
      <c r="M38" s="116">
        <v>552</v>
      </c>
      <c r="N38" s="116">
        <v>506</v>
      </c>
      <c r="O38" s="116">
        <v>556</v>
      </c>
      <c r="P38" s="116">
        <v>746</v>
      </c>
      <c r="Q38" s="116">
        <v>354</v>
      </c>
      <c r="R38" s="116">
        <v>236</v>
      </c>
      <c r="S38" s="116">
        <v>232</v>
      </c>
      <c r="T38" s="116">
        <v>218</v>
      </c>
      <c r="U38" s="116">
        <v>196</v>
      </c>
      <c r="V38" s="127">
        <v>186</v>
      </c>
      <c r="W38" s="116">
        <v>190</v>
      </c>
      <c r="X38" s="116">
        <v>192</v>
      </c>
      <c r="Y38" s="116">
        <v>194</v>
      </c>
      <c r="Z38" s="116">
        <v>197</v>
      </c>
      <c r="AA38" s="116">
        <v>201</v>
      </c>
      <c r="AB38" s="127">
        <v>205</v>
      </c>
      <c r="AC38" s="213">
        <v>209</v>
      </c>
      <c r="AD38" s="213">
        <v>214</v>
      </c>
      <c r="AE38" s="213">
        <v>218</v>
      </c>
      <c r="AF38" s="213">
        <v>222</v>
      </c>
      <c r="AG38" s="7"/>
    </row>
    <row r="39" spans="1:33" ht="12.75" outlineLevel="1">
      <c r="B39" s="178"/>
      <c r="C39" s="178"/>
      <c r="D39" s="178"/>
      <c r="E39" s="178"/>
      <c r="F39" s="178"/>
      <c r="G39" s="178"/>
      <c r="H39" s="178"/>
      <c r="I39" s="865"/>
      <c r="J39" s="866"/>
      <c r="K39" s="210" t="s">
        <v>134</v>
      </c>
      <c r="L39" s="116">
        <v>174</v>
      </c>
      <c r="M39" s="116">
        <v>126</v>
      </c>
      <c r="N39" s="116">
        <v>122</v>
      </c>
      <c r="O39" s="116">
        <v>202</v>
      </c>
      <c r="P39" s="116">
        <v>216</v>
      </c>
      <c r="Q39" s="116">
        <v>232</v>
      </c>
      <c r="R39" s="116">
        <v>110</v>
      </c>
      <c r="S39" s="214">
        <v>196</v>
      </c>
      <c r="T39" s="214">
        <v>202</v>
      </c>
      <c r="U39" s="116">
        <v>218</v>
      </c>
      <c r="V39" s="127">
        <v>171</v>
      </c>
      <c r="W39" s="116">
        <v>176</v>
      </c>
      <c r="X39" s="116">
        <v>180</v>
      </c>
      <c r="Y39" s="116">
        <v>183</v>
      </c>
      <c r="Z39" s="116">
        <v>187</v>
      </c>
      <c r="AA39" s="116">
        <v>191</v>
      </c>
      <c r="AB39" s="127">
        <v>194</v>
      </c>
      <c r="AC39" s="213">
        <v>198</v>
      </c>
      <c r="AD39" s="213">
        <v>204</v>
      </c>
      <c r="AE39" s="213">
        <v>206</v>
      </c>
      <c r="AF39" s="213">
        <v>208</v>
      </c>
      <c r="AG39" s="7"/>
    </row>
    <row r="40" spans="1:33" ht="12.75" outlineLevel="1">
      <c r="B40" s="178"/>
      <c r="C40" s="178"/>
      <c r="D40" s="178"/>
      <c r="E40" s="178"/>
      <c r="F40" s="178"/>
      <c r="G40" s="178"/>
      <c r="H40" s="178"/>
      <c r="I40" s="865"/>
      <c r="J40" s="895" t="s">
        <v>135</v>
      </c>
      <c r="K40" s="217" t="s">
        <v>136</v>
      </c>
      <c r="L40" s="218">
        <v>0</v>
      </c>
      <c r="M40" s="218">
        <v>0</v>
      </c>
      <c r="N40" s="218">
        <v>0</v>
      </c>
      <c r="O40" s="218">
        <v>0</v>
      </c>
      <c r="P40" s="218">
        <v>536</v>
      </c>
      <c r="Q40" s="218">
        <v>560</v>
      </c>
      <c r="R40" s="218">
        <v>312</v>
      </c>
      <c r="S40" s="218">
        <v>348</v>
      </c>
      <c r="T40" s="218">
        <v>428</v>
      </c>
      <c r="U40" s="218">
        <v>1020</v>
      </c>
      <c r="V40" s="241">
        <v>921</v>
      </c>
      <c r="W40" s="218">
        <v>930</v>
      </c>
      <c r="X40" s="218">
        <v>958</v>
      </c>
      <c r="Y40" s="218">
        <v>967</v>
      </c>
      <c r="Z40" s="218">
        <v>977</v>
      </c>
      <c r="AA40" s="218">
        <v>987</v>
      </c>
      <c r="AB40" s="241">
        <v>1007</v>
      </c>
      <c r="AC40" s="242">
        <v>1027</v>
      </c>
      <c r="AD40" s="242">
        <v>1047</v>
      </c>
      <c r="AE40" s="242">
        <v>1068</v>
      </c>
      <c r="AF40" s="242">
        <v>1090</v>
      </c>
      <c r="AG40" s="7"/>
    </row>
    <row r="41" spans="1:33" ht="12.75" outlineLevel="1">
      <c r="B41" s="178"/>
      <c r="C41" s="178"/>
      <c r="D41" s="178"/>
      <c r="E41" s="178"/>
      <c r="F41" s="178"/>
      <c r="G41" s="178"/>
      <c r="H41" s="178"/>
      <c r="I41" s="865"/>
      <c r="J41" s="865"/>
      <c r="K41" s="217" t="s">
        <v>137</v>
      </c>
      <c r="L41" s="218">
        <v>0</v>
      </c>
      <c r="M41" s="218">
        <v>0</v>
      </c>
      <c r="N41" s="218">
        <v>0</v>
      </c>
      <c r="O41" s="218">
        <v>0</v>
      </c>
      <c r="P41" s="218">
        <v>520</v>
      </c>
      <c r="Q41" s="218">
        <v>464</v>
      </c>
      <c r="R41" s="218">
        <v>264</v>
      </c>
      <c r="S41" s="218">
        <v>356</v>
      </c>
      <c r="T41" s="218">
        <v>460</v>
      </c>
      <c r="U41" s="218">
        <v>1012</v>
      </c>
      <c r="V41" s="241">
        <v>1045</v>
      </c>
      <c r="W41" s="218">
        <v>1076</v>
      </c>
      <c r="X41" s="218">
        <v>1108</v>
      </c>
      <c r="Y41" s="218">
        <v>1131</v>
      </c>
      <c r="Z41" s="218">
        <v>1142</v>
      </c>
      <c r="AA41" s="218">
        <v>1153</v>
      </c>
      <c r="AB41" s="241">
        <v>1188</v>
      </c>
      <c r="AC41" s="242">
        <v>1212</v>
      </c>
      <c r="AD41" s="242">
        <v>1236</v>
      </c>
      <c r="AE41" s="242">
        <v>1261</v>
      </c>
      <c r="AF41" s="242">
        <v>1286</v>
      </c>
      <c r="AG41" s="7"/>
    </row>
    <row r="42" spans="1:33" ht="12.75" outlineLevel="1">
      <c r="B42" s="178"/>
      <c r="C42" s="178"/>
      <c r="D42" s="178"/>
      <c r="E42" s="178"/>
      <c r="F42" s="178"/>
      <c r="G42" s="178"/>
      <c r="H42" s="178"/>
      <c r="I42" s="865"/>
      <c r="J42" s="865"/>
      <c r="K42" s="217" t="s">
        <v>138</v>
      </c>
      <c r="L42" s="218">
        <v>0</v>
      </c>
      <c r="M42" s="218">
        <v>0</v>
      </c>
      <c r="N42" s="218">
        <v>0</v>
      </c>
      <c r="O42" s="218">
        <v>0</v>
      </c>
      <c r="P42" s="218">
        <v>784</v>
      </c>
      <c r="Q42" s="218">
        <v>472</v>
      </c>
      <c r="R42" s="218">
        <v>328</v>
      </c>
      <c r="S42" s="218">
        <v>284</v>
      </c>
      <c r="T42" s="218">
        <v>276</v>
      </c>
      <c r="U42" s="218">
        <v>1100</v>
      </c>
      <c r="V42" s="241">
        <v>895</v>
      </c>
      <c r="W42" s="218">
        <v>913</v>
      </c>
      <c r="X42" s="218">
        <v>931</v>
      </c>
      <c r="Y42" s="218">
        <v>950</v>
      </c>
      <c r="Z42" s="218">
        <v>960</v>
      </c>
      <c r="AA42" s="218">
        <v>969</v>
      </c>
      <c r="AB42" s="241">
        <v>998</v>
      </c>
      <c r="AC42" s="242">
        <v>1018</v>
      </c>
      <c r="AD42" s="242">
        <v>1039</v>
      </c>
      <c r="AE42" s="242">
        <v>1059</v>
      </c>
      <c r="AF42" s="242">
        <v>1081</v>
      </c>
      <c r="AG42" s="7"/>
    </row>
    <row r="43" spans="1:33" ht="12.75" outlineLevel="1">
      <c r="B43" s="178"/>
      <c r="C43" s="178"/>
      <c r="D43" s="178"/>
      <c r="E43" s="178"/>
      <c r="F43" s="178"/>
      <c r="G43" s="178"/>
      <c r="H43" s="178"/>
      <c r="I43" s="865"/>
      <c r="J43" s="866"/>
      <c r="K43" s="217" t="s">
        <v>139</v>
      </c>
      <c r="L43" s="218">
        <v>0</v>
      </c>
      <c r="M43" s="218">
        <v>0</v>
      </c>
      <c r="N43" s="218">
        <v>0</v>
      </c>
      <c r="O43" s="218">
        <v>0</v>
      </c>
      <c r="P43" s="218">
        <v>1048</v>
      </c>
      <c r="Q43" s="218">
        <v>376</v>
      </c>
      <c r="R43" s="218">
        <v>384</v>
      </c>
      <c r="S43" s="218">
        <v>212</v>
      </c>
      <c r="T43" s="218">
        <v>324</v>
      </c>
      <c r="U43" s="218">
        <v>1116</v>
      </c>
      <c r="V43" s="241">
        <v>805</v>
      </c>
      <c r="W43" s="218">
        <v>789</v>
      </c>
      <c r="X43" s="218">
        <v>797</v>
      </c>
      <c r="Y43" s="218">
        <v>805</v>
      </c>
      <c r="Z43" s="218">
        <v>813</v>
      </c>
      <c r="AA43" s="218">
        <v>821</v>
      </c>
      <c r="AB43" s="241">
        <v>837</v>
      </c>
      <c r="AC43" s="242">
        <v>854</v>
      </c>
      <c r="AD43" s="242">
        <v>871</v>
      </c>
      <c r="AE43" s="242">
        <v>889</v>
      </c>
      <c r="AF43" s="242">
        <v>906</v>
      </c>
      <c r="AG43" s="7"/>
    </row>
    <row r="44" spans="1:33" ht="12.75" outlineLevel="1">
      <c r="B44" s="178"/>
      <c r="C44" s="178"/>
      <c r="D44" s="178"/>
      <c r="E44" s="178"/>
      <c r="F44" s="178"/>
      <c r="G44" s="178"/>
      <c r="H44" s="178"/>
      <c r="I44" s="866"/>
      <c r="J44" s="909" t="s">
        <v>38</v>
      </c>
      <c r="K44" s="860"/>
      <c r="L44" s="244">
        <f t="shared" ref="L44:AF44" si="6">SUM(L28:L39)</f>
        <v>57902</v>
      </c>
      <c r="M44" s="244">
        <f t="shared" si="6"/>
        <v>50060</v>
      </c>
      <c r="N44" s="244">
        <f t="shared" si="6"/>
        <v>66663</v>
      </c>
      <c r="O44" s="244">
        <f t="shared" si="6"/>
        <v>79257</v>
      </c>
      <c r="P44" s="244">
        <f t="shared" si="6"/>
        <v>66391</v>
      </c>
      <c r="Q44" s="244">
        <f t="shared" si="6"/>
        <v>24854</v>
      </c>
      <c r="R44" s="244">
        <f t="shared" si="6"/>
        <v>19334.099999999999</v>
      </c>
      <c r="S44" s="244">
        <f t="shared" si="6"/>
        <v>19363</v>
      </c>
      <c r="T44" s="244">
        <f t="shared" si="6"/>
        <v>21659</v>
      </c>
      <c r="U44" s="244">
        <f t="shared" si="6"/>
        <v>21133</v>
      </c>
      <c r="V44" s="245">
        <f t="shared" si="6"/>
        <v>20755</v>
      </c>
      <c r="W44" s="244">
        <f t="shared" si="6"/>
        <v>21597</v>
      </c>
      <c r="X44" s="244">
        <f t="shared" si="6"/>
        <v>22525</v>
      </c>
      <c r="Y44" s="244">
        <f t="shared" si="6"/>
        <v>23109</v>
      </c>
      <c r="Z44" s="244">
        <f t="shared" si="6"/>
        <v>24461</v>
      </c>
      <c r="AA44" s="244">
        <f t="shared" si="6"/>
        <v>25471</v>
      </c>
      <c r="AB44" s="245">
        <f t="shared" si="6"/>
        <v>26000</v>
      </c>
      <c r="AC44" s="246">
        <f t="shared" si="6"/>
        <v>26562</v>
      </c>
      <c r="AD44" s="246">
        <f t="shared" si="6"/>
        <v>27610</v>
      </c>
      <c r="AE44" s="246">
        <f t="shared" si="6"/>
        <v>28481</v>
      </c>
      <c r="AF44" s="246">
        <f t="shared" si="6"/>
        <v>29135</v>
      </c>
      <c r="AG44" s="7"/>
    </row>
    <row r="45" spans="1:33" ht="12.75">
      <c r="B45" s="178"/>
      <c r="C45" s="178"/>
      <c r="D45" s="178"/>
      <c r="E45" s="178"/>
      <c r="F45" s="178"/>
      <c r="G45" s="178"/>
      <c r="H45" s="178"/>
      <c r="I45" s="247"/>
      <c r="J45" s="248"/>
      <c r="K45" s="248"/>
      <c r="AG45" s="7"/>
    </row>
    <row r="46" spans="1:33" ht="12.75">
      <c r="A46" s="178"/>
      <c r="B46" s="178"/>
      <c r="C46" s="249"/>
      <c r="D46" s="178"/>
      <c r="E46" s="178"/>
      <c r="F46" s="178"/>
      <c r="G46" s="178"/>
      <c r="H46" s="178"/>
      <c r="I46" s="247"/>
      <c r="J46" s="248"/>
      <c r="K46" s="248"/>
      <c r="AG46" s="7"/>
    </row>
    <row r="47" spans="1:33" ht="12.75">
      <c r="A47" s="107"/>
      <c r="B47" s="107"/>
      <c r="C47" s="108" t="s">
        <v>49</v>
      </c>
      <c r="D47" s="107" t="s">
        <v>50</v>
      </c>
      <c r="E47" s="107"/>
      <c r="F47" s="178"/>
      <c r="G47" s="178"/>
      <c r="H47" s="178"/>
      <c r="I47" s="894" t="s">
        <v>51</v>
      </c>
      <c r="J47" s="879"/>
      <c r="K47" s="860"/>
      <c r="L47" s="250" t="s">
        <v>14</v>
      </c>
      <c r="M47" s="250" t="s">
        <v>15</v>
      </c>
      <c r="N47" s="250" t="s">
        <v>16</v>
      </c>
      <c r="O47" s="250" t="s">
        <v>17</v>
      </c>
      <c r="P47" s="250" t="s">
        <v>18</v>
      </c>
      <c r="Q47" s="250" t="s">
        <v>19</v>
      </c>
      <c r="R47" s="250" t="s">
        <v>20</v>
      </c>
      <c r="S47" s="250" t="s">
        <v>21</v>
      </c>
      <c r="T47" s="250" t="s">
        <v>22</v>
      </c>
      <c r="U47" s="250" t="s">
        <v>23</v>
      </c>
      <c r="V47" s="251" t="s">
        <v>107</v>
      </c>
      <c r="W47" s="250" t="s">
        <v>25</v>
      </c>
      <c r="X47" s="250" t="s">
        <v>26</v>
      </c>
      <c r="Y47" s="250" t="s">
        <v>15</v>
      </c>
      <c r="Z47" s="250" t="s">
        <v>16</v>
      </c>
      <c r="AA47" s="250" t="s">
        <v>17</v>
      </c>
      <c r="AB47" s="251" t="s">
        <v>18</v>
      </c>
      <c r="AC47" s="252" t="s">
        <v>19</v>
      </c>
      <c r="AD47" s="253" t="s">
        <v>20</v>
      </c>
      <c r="AE47" s="253" t="s">
        <v>21</v>
      </c>
      <c r="AF47" s="253" t="s">
        <v>22</v>
      </c>
      <c r="AG47" s="7"/>
    </row>
    <row r="48" spans="1:33" ht="12.75">
      <c r="A48" s="900" t="s">
        <v>27</v>
      </c>
      <c r="B48" s="254" t="s">
        <v>110</v>
      </c>
      <c r="C48" s="255">
        <v>3441</v>
      </c>
      <c r="D48" s="256">
        <f t="shared" ref="D48:D63" si="7">C48-(V28/31*9)</f>
        <v>3399.7741935483873</v>
      </c>
      <c r="E48" s="256">
        <f t="shared" ref="E48:E63" si="8">D48-V48</f>
        <v>-4.2258064516126979</v>
      </c>
      <c r="F48" s="178"/>
      <c r="G48" s="178"/>
      <c r="H48" s="178"/>
      <c r="I48" s="911" t="s">
        <v>140</v>
      </c>
      <c r="J48" s="891" t="s">
        <v>27</v>
      </c>
      <c r="K48" s="190" t="s">
        <v>110</v>
      </c>
      <c r="L48" s="116">
        <v>4054</v>
      </c>
      <c r="M48" s="116">
        <v>3567</v>
      </c>
      <c r="N48" s="116">
        <v>3474</v>
      </c>
      <c r="O48" s="116">
        <v>3043</v>
      </c>
      <c r="P48" s="116">
        <f>3566-1757</f>
        <v>1809</v>
      </c>
      <c r="Q48" s="116">
        <f>3905-1757</f>
        <v>2148</v>
      </c>
      <c r="R48" s="116">
        <v>2260</v>
      </c>
      <c r="S48" s="116">
        <v>2120.4</v>
      </c>
      <c r="T48" s="116">
        <v>3664</v>
      </c>
      <c r="U48" s="116">
        <v>3517.4</v>
      </c>
      <c r="V48" s="212">
        <v>3404</v>
      </c>
      <c r="W48" s="116">
        <f t="shared" ref="W48:AF48" si="9">V48+W6-W28</f>
        <v>3256</v>
      </c>
      <c r="X48" s="116">
        <f t="shared" si="9"/>
        <v>3102</v>
      </c>
      <c r="Y48" s="116">
        <f t="shared" si="9"/>
        <v>2951</v>
      </c>
      <c r="Z48" s="116">
        <f t="shared" si="9"/>
        <v>2776</v>
      </c>
      <c r="AA48" s="116">
        <f t="shared" si="9"/>
        <v>2577</v>
      </c>
      <c r="AB48" s="212">
        <f t="shared" si="9"/>
        <v>2354</v>
      </c>
      <c r="AC48" s="257">
        <f t="shared" si="9"/>
        <v>2111</v>
      </c>
      <c r="AD48" s="116">
        <f t="shared" si="9"/>
        <v>1853</v>
      </c>
      <c r="AE48" s="116">
        <f t="shared" si="9"/>
        <v>1583</v>
      </c>
      <c r="AF48" s="116">
        <f t="shared" si="9"/>
        <v>1302</v>
      </c>
      <c r="AG48" s="7"/>
    </row>
    <row r="49" spans="1:33" ht="12.75">
      <c r="A49" s="865"/>
      <c r="B49" s="254">
        <v>1</v>
      </c>
      <c r="C49" s="255">
        <v>9798</v>
      </c>
      <c r="D49" s="256">
        <f t="shared" si="7"/>
        <v>9612.7741935483864</v>
      </c>
      <c r="E49" s="256">
        <f t="shared" si="8"/>
        <v>-57.225806451613607</v>
      </c>
      <c r="F49" s="178"/>
      <c r="G49" s="178"/>
      <c r="H49" s="178"/>
      <c r="I49" s="865"/>
      <c r="J49" s="865"/>
      <c r="K49" s="190">
        <v>1</v>
      </c>
      <c r="L49" s="116">
        <v>1301</v>
      </c>
      <c r="M49" s="116">
        <v>0</v>
      </c>
      <c r="N49" s="116">
        <v>1282</v>
      </c>
      <c r="O49" s="116">
        <v>4934</v>
      </c>
      <c r="P49" s="116">
        <v>6187</v>
      </c>
      <c r="Q49" s="116">
        <v>7713</v>
      </c>
      <c r="R49" s="116">
        <v>8663</v>
      </c>
      <c r="S49" s="116">
        <v>7949.2</v>
      </c>
      <c r="T49" s="116">
        <v>10902</v>
      </c>
      <c r="U49" s="116">
        <v>10107.066666666668</v>
      </c>
      <c r="V49" s="212">
        <v>9670</v>
      </c>
      <c r="W49" s="116">
        <f t="shared" ref="W49:AF49" si="10">V49+W7-W29</f>
        <v>9019</v>
      </c>
      <c r="X49" s="116">
        <f t="shared" si="10"/>
        <v>8355</v>
      </c>
      <c r="Y49" s="116">
        <f t="shared" si="10"/>
        <v>7698</v>
      </c>
      <c r="Z49" s="116">
        <f t="shared" si="10"/>
        <v>7001</v>
      </c>
      <c r="AA49" s="116">
        <f t="shared" si="10"/>
        <v>6270</v>
      </c>
      <c r="AB49" s="212">
        <f t="shared" si="10"/>
        <v>5509</v>
      </c>
      <c r="AC49" s="257">
        <f t="shared" si="10"/>
        <v>4726</v>
      </c>
      <c r="AD49" s="116">
        <f t="shared" si="10"/>
        <v>3927</v>
      </c>
      <c r="AE49" s="116">
        <f t="shared" si="10"/>
        <v>3104</v>
      </c>
      <c r="AF49" s="116">
        <f t="shared" si="10"/>
        <v>2264</v>
      </c>
      <c r="AG49" s="7"/>
    </row>
    <row r="50" spans="1:33" ht="12.75">
      <c r="A50" s="865"/>
      <c r="B50" s="254" t="s">
        <v>119</v>
      </c>
      <c r="C50" s="255">
        <v>5829</v>
      </c>
      <c r="D50" s="256">
        <f t="shared" si="7"/>
        <v>5741.9032258064517</v>
      </c>
      <c r="E50" s="256">
        <f t="shared" si="8"/>
        <v>-13.096774193548299</v>
      </c>
      <c r="F50" s="178"/>
      <c r="G50" s="178"/>
      <c r="H50" s="178"/>
      <c r="I50" s="865"/>
      <c r="J50" s="865"/>
      <c r="K50" s="190" t="s">
        <v>119</v>
      </c>
      <c r="L50" s="116">
        <v>13865</v>
      </c>
      <c r="M50" s="116">
        <v>11903</v>
      </c>
      <c r="N50" s="116">
        <v>10128</v>
      </c>
      <c r="O50" s="116">
        <v>8377</v>
      </c>
      <c r="P50" s="116">
        <v>14109</v>
      </c>
      <c r="Q50" s="116">
        <v>0</v>
      </c>
      <c r="R50" s="116">
        <v>0</v>
      </c>
      <c r="S50" s="116">
        <v>-2.6666666666666668E-2</v>
      </c>
      <c r="T50" s="116">
        <v>6326</v>
      </c>
      <c r="U50" s="116">
        <v>6061.4666666666662</v>
      </c>
      <c r="V50" s="212">
        <v>5755</v>
      </c>
      <c r="W50" s="116">
        <f t="shared" ref="W50:AD50" si="11">V50+W8-W30</f>
        <v>5410</v>
      </c>
      <c r="X50" s="116">
        <f t="shared" si="11"/>
        <v>4986</v>
      </c>
      <c r="Y50" s="116">
        <f t="shared" si="11"/>
        <v>4587</v>
      </c>
      <c r="Z50" s="116">
        <f t="shared" si="11"/>
        <v>4160</v>
      </c>
      <c r="AA50" s="116">
        <f t="shared" si="11"/>
        <v>3720</v>
      </c>
      <c r="AB50" s="212">
        <f t="shared" si="11"/>
        <v>3316</v>
      </c>
      <c r="AC50" s="257">
        <f t="shared" si="11"/>
        <v>2903</v>
      </c>
      <c r="AD50" s="116">
        <f t="shared" si="11"/>
        <v>2404</v>
      </c>
      <c r="AE50" s="214">
        <f>AD50+AE8-AE30-1900</f>
        <v>-130</v>
      </c>
      <c r="AF50" s="116">
        <f>AE50+AF8-AF30</f>
        <v>-796</v>
      </c>
      <c r="AG50" s="7"/>
    </row>
    <row r="51" spans="1:33" ht="12.75">
      <c r="A51" s="865"/>
      <c r="B51" s="254">
        <v>2</v>
      </c>
      <c r="C51" s="255">
        <v>5764</v>
      </c>
      <c r="D51" s="256">
        <f t="shared" si="7"/>
        <v>5429.8387096774195</v>
      </c>
      <c r="E51" s="256">
        <f t="shared" si="8"/>
        <v>-122.1612903225805</v>
      </c>
      <c r="F51" s="178"/>
      <c r="G51" s="178"/>
      <c r="H51" s="178"/>
      <c r="I51" s="865"/>
      <c r="J51" s="865"/>
      <c r="K51" s="190">
        <v>2</v>
      </c>
      <c r="L51" s="116">
        <v>6730</v>
      </c>
      <c r="M51" s="116">
        <v>5473</v>
      </c>
      <c r="N51" s="116">
        <v>4249</v>
      </c>
      <c r="O51" s="116">
        <v>2605</v>
      </c>
      <c r="P51" s="116">
        <v>2356</v>
      </c>
      <c r="Q51" s="116">
        <v>2446</v>
      </c>
      <c r="R51" s="116">
        <v>2511</v>
      </c>
      <c r="S51" s="116">
        <v>1161.6666666666667</v>
      </c>
      <c r="T51" s="116">
        <v>7697</v>
      </c>
      <c r="U51" s="116">
        <v>6510.2</v>
      </c>
      <c r="V51" s="212">
        <v>5552</v>
      </c>
      <c r="W51" s="116">
        <f t="shared" ref="W51:AF51" si="12">V51+W9-W31</f>
        <v>4366</v>
      </c>
      <c r="X51" s="116">
        <f t="shared" si="12"/>
        <v>3157</v>
      </c>
      <c r="Y51" s="116">
        <f t="shared" si="12"/>
        <v>1972</v>
      </c>
      <c r="Z51" s="116">
        <f t="shared" si="12"/>
        <v>740</v>
      </c>
      <c r="AA51" s="116">
        <f t="shared" si="12"/>
        <v>-529</v>
      </c>
      <c r="AB51" s="127">
        <f t="shared" si="12"/>
        <v>-1786</v>
      </c>
      <c r="AC51" s="257">
        <f t="shared" si="12"/>
        <v>-3005</v>
      </c>
      <c r="AD51" s="116">
        <f t="shared" si="12"/>
        <v>-4407</v>
      </c>
      <c r="AE51" s="116">
        <f t="shared" si="12"/>
        <v>-5893</v>
      </c>
      <c r="AF51" s="116">
        <f t="shared" si="12"/>
        <v>-7424</v>
      </c>
      <c r="AG51" s="7"/>
    </row>
    <row r="52" spans="1:33" ht="12.75">
      <c r="A52" s="865"/>
      <c r="B52" s="254" t="s">
        <v>124</v>
      </c>
      <c r="C52" s="255">
        <v>26234</v>
      </c>
      <c r="D52" s="256">
        <f t="shared" si="7"/>
        <v>26066.483870967742</v>
      </c>
      <c r="E52" s="256">
        <f t="shared" si="8"/>
        <v>15.483870967742405</v>
      </c>
      <c r="F52" s="178"/>
      <c r="G52" s="178"/>
      <c r="H52" s="178"/>
      <c r="I52" s="865"/>
      <c r="J52" s="865"/>
      <c r="K52" s="190" t="s">
        <v>124</v>
      </c>
      <c r="L52" s="116">
        <v>14739</v>
      </c>
      <c r="M52" s="116">
        <v>12610</v>
      </c>
      <c r="N52" s="116">
        <v>10681</v>
      </c>
      <c r="O52" s="116">
        <v>8444</v>
      </c>
      <c r="P52" s="116">
        <v>12969</v>
      </c>
      <c r="Q52" s="116">
        <v>10211</v>
      </c>
      <c r="R52" s="116">
        <v>11645</v>
      </c>
      <c r="S52" s="116">
        <v>11002.466666666667</v>
      </c>
      <c r="T52" s="116">
        <v>22295</v>
      </c>
      <c r="U52" s="116">
        <v>26586.400000000001</v>
      </c>
      <c r="V52" s="212">
        <v>26051</v>
      </c>
      <c r="W52" s="116">
        <f t="shared" ref="W52:Z52" si="13">V52+W10-W32</f>
        <v>25439</v>
      </c>
      <c r="X52" s="116">
        <f t="shared" si="13"/>
        <v>24699</v>
      </c>
      <c r="Y52" s="116">
        <f t="shared" si="13"/>
        <v>23989</v>
      </c>
      <c r="Z52" s="116">
        <f t="shared" si="13"/>
        <v>23186</v>
      </c>
      <c r="AA52" s="214">
        <f>Z52+AA10-AA32-600</f>
        <v>21759</v>
      </c>
      <c r="AB52" s="258">
        <f>AA52+AB10-AB32-4500</f>
        <v>16498</v>
      </c>
      <c r="AC52" s="257">
        <f t="shared" ref="AC52:AD52" si="14">AB52+AC10-AC32</f>
        <v>15752</v>
      </c>
      <c r="AD52" s="116">
        <f t="shared" si="14"/>
        <v>14910</v>
      </c>
      <c r="AE52" s="214">
        <f>AD52+AE10-AE32-9300</f>
        <v>4624</v>
      </c>
      <c r="AF52" s="214">
        <f>AE52+AF10-AF32-3900</f>
        <v>-291</v>
      </c>
      <c r="AG52" s="7"/>
    </row>
    <row r="53" spans="1:33" ht="12.75">
      <c r="A53" s="866"/>
      <c r="B53" s="254">
        <v>3</v>
      </c>
      <c r="C53" s="255">
        <v>3845</v>
      </c>
      <c r="D53" s="256">
        <f t="shared" si="7"/>
        <v>3754.7096774193546</v>
      </c>
      <c r="E53" s="256">
        <f t="shared" si="8"/>
        <v>30.709677419354648</v>
      </c>
      <c r="F53" s="178"/>
      <c r="G53" s="178"/>
      <c r="H53" s="178"/>
      <c r="I53" s="865"/>
      <c r="J53" s="866"/>
      <c r="K53" s="190">
        <v>3</v>
      </c>
      <c r="L53" s="116">
        <v>29</v>
      </c>
      <c r="M53" s="116">
        <v>0</v>
      </c>
      <c r="N53" s="116">
        <v>1195</v>
      </c>
      <c r="O53" s="116">
        <v>857</v>
      </c>
      <c r="P53" s="116">
        <v>298</v>
      </c>
      <c r="Q53" s="116">
        <v>540</v>
      </c>
      <c r="R53" s="116">
        <v>240</v>
      </c>
      <c r="S53" s="116">
        <v>0</v>
      </c>
      <c r="T53" s="116">
        <v>4365</v>
      </c>
      <c r="U53" s="116">
        <v>4136.5333333333338</v>
      </c>
      <c r="V53" s="212">
        <v>3724</v>
      </c>
      <c r="W53" s="116">
        <f t="shared" ref="W53:AF53" si="15">V53+W11-W33</f>
        <v>3407</v>
      </c>
      <c r="X53" s="116">
        <f t="shared" si="15"/>
        <v>3087</v>
      </c>
      <c r="Y53" s="116">
        <f t="shared" si="15"/>
        <v>2763</v>
      </c>
      <c r="Z53" s="116">
        <f t="shared" si="15"/>
        <v>2433</v>
      </c>
      <c r="AA53" s="116">
        <f t="shared" si="15"/>
        <v>2096</v>
      </c>
      <c r="AB53" s="212">
        <f t="shared" si="15"/>
        <v>1756</v>
      </c>
      <c r="AC53" s="257">
        <f t="shared" si="15"/>
        <v>1409</v>
      </c>
      <c r="AD53" s="116">
        <f t="shared" si="15"/>
        <v>1059</v>
      </c>
      <c r="AE53" s="116">
        <f t="shared" si="15"/>
        <v>702</v>
      </c>
      <c r="AF53" s="116">
        <f t="shared" si="15"/>
        <v>338</v>
      </c>
      <c r="AG53" s="7"/>
    </row>
    <row r="54" spans="1:33" ht="12.75">
      <c r="A54" s="901" t="s">
        <v>32</v>
      </c>
      <c r="B54" s="259" t="s">
        <v>110</v>
      </c>
      <c r="C54" s="255">
        <v>48456</v>
      </c>
      <c r="D54" s="256">
        <f t="shared" si="7"/>
        <v>47712.483870967742</v>
      </c>
      <c r="E54" s="256">
        <f t="shared" si="8"/>
        <v>-101.5161290322576</v>
      </c>
      <c r="F54" s="178"/>
      <c r="G54" s="178"/>
      <c r="H54" s="178"/>
      <c r="I54" s="865"/>
      <c r="J54" s="892" t="s">
        <v>32</v>
      </c>
      <c r="K54" s="205" t="s">
        <v>110</v>
      </c>
      <c r="L54" s="116">
        <v>13157</v>
      </c>
      <c r="M54" s="116">
        <v>18869</v>
      </c>
      <c r="N54" s="116">
        <v>18706</v>
      </c>
      <c r="O54" s="116">
        <v>31891</v>
      </c>
      <c r="P54" s="116">
        <v>37421</v>
      </c>
      <c r="Q54" s="116">
        <v>29421</v>
      </c>
      <c r="R54" s="116">
        <v>26829</v>
      </c>
      <c r="S54" s="116">
        <v>53192.666666666664</v>
      </c>
      <c r="T54" s="116">
        <v>51109</v>
      </c>
      <c r="U54" s="116">
        <v>50129.466666666667</v>
      </c>
      <c r="V54" s="212">
        <v>47814</v>
      </c>
      <c r="W54" s="116">
        <f t="shared" ref="W54:AF54" si="16">V54+W12-W34</f>
        <v>45151</v>
      </c>
      <c r="X54" s="116">
        <f t="shared" si="16"/>
        <v>42381</v>
      </c>
      <c r="Y54" s="116">
        <f t="shared" si="16"/>
        <v>39445</v>
      </c>
      <c r="Z54" s="116">
        <f t="shared" si="16"/>
        <v>36274</v>
      </c>
      <c r="AA54" s="116">
        <f t="shared" si="16"/>
        <v>32976</v>
      </c>
      <c r="AB54" s="212">
        <f t="shared" si="16"/>
        <v>29579</v>
      </c>
      <c r="AC54" s="257">
        <f t="shared" si="16"/>
        <v>26080</v>
      </c>
      <c r="AD54" s="116">
        <f t="shared" si="16"/>
        <v>22511</v>
      </c>
      <c r="AE54" s="116">
        <f t="shared" si="16"/>
        <v>18871</v>
      </c>
      <c r="AF54" s="116">
        <f t="shared" si="16"/>
        <v>15122</v>
      </c>
      <c r="AG54" s="7"/>
    </row>
    <row r="55" spans="1:33" ht="12.75">
      <c r="A55" s="865"/>
      <c r="B55" s="259">
        <v>1</v>
      </c>
      <c r="C55" s="255">
        <v>80575</v>
      </c>
      <c r="D55" s="256">
        <f t="shared" si="7"/>
        <v>79077.806451612909</v>
      </c>
      <c r="E55" s="256">
        <f t="shared" si="8"/>
        <v>-269.19354838709114</v>
      </c>
      <c r="F55" s="178"/>
      <c r="G55" s="178"/>
      <c r="H55" s="178"/>
      <c r="I55" s="865"/>
      <c r="J55" s="865"/>
      <c r="K55" s="205">
        <v>1</v>
      </c>
      <c r="L55" s="116">
        <v>43963</v>
      </c>
      <c r="M55" s="116">
        <v>32815</v>
      </c>
      <c r="N55" s="116">
        <v>33370</v>
      </c>
      <c r="O55" s="116">
        <v>90234</v>
      </c>
      <c r="P55" s="116">
        <v>91523</v>
      </c>
      <c r="Q55" s="116">
        <v>62384</v>
      </c>
      <c r="R55" s="116">
        <v>57177</v>
      </c>
      <c r="S55" s="116">
        <v>82326.8</v>
      </c>
      <c r="T55" s="116">
        <v>77809</v>
      </c>
      <c r="U55" s="116">
        <v>83630.933333333334</v>
      </c>
      <c r="V55" s="212">
        <v>79347</v>
      </c>
      <c r="W55" s="116">
        <f t="shared" ref="W55:AF55" si="17">V55+W13-W35</f>
        <v>74035</v>
      </c>
      <c r="X55" s="116">
        <f t="shared" si="17"/>
        <v>68617</v>
      </c>
      <c r="Y55" s="116">
        <f t="shared" si="17"/>
        <v>63091</v>
      </c>
      <c r="Z55" s="116">
        <f t="shared" si="17"/>
        <v>57344</v>
      </c>
      <c r="AA55" s="116">
        <f t="shared" si="17"/>
        <v>51367</v>
      </c>
      <c r="AB55" s="212">
        <f t="shared" si="17"/>
        <v>45270</v>
      </c>
      <c r="AC55" s="257">
        <f t="shared" si="17"/>
        <v>38990</v>
      </c>
      <c r="AD55" s="116">
        <f t="shared" si="17"/>
        <v>32522</v>
      </c>
      <c r="AE55" s="116">
        <f t="shared" si="17"/>
        <v>25925</v>
      </c>
      <c r="AF55" s="116">
        <f t="shared" si="17"/>
        <v>19196</v>
      </c>
      <c r="AG55" s="7"/>
    </row>
    <row r="56" spans="1:33" ht="12.75">
      <c r="A56" s="865"/>
      <c r="B56" s="259">
        <v>2</v>
      </c>
      <c r="C56" s="255">
        <v>120053</v>
      </c>
      <c r="D56" s="256">
        <f t="shared" si="7"/>
        <v>117681.35483870968</v>
      </c>
      <c r="E56" s="256">
        <f t="shared" si="8"/>
        <v>-212.64516129031836</v>
      </c>
      <c r="F56" s="178"/>
      <c r="G56" s="178"/>
      <c r="H56" s="178"/>
      <c r="I56" s="865"/>
      <c r="J56" s="865"/>
      <c r="K56" s="205">
        <v>2</v>
      </c>
      <c r="L56" s="116">
        <v>24590</v>
      </c>
      <c r="M56" s="116">
        <v>54489</v>
      </c>
      <c r="N56" s="116">
        <v>75119</v>
      </c>
      <c r="O56" s="116">
        <v>85815</v>
      </c>
      <c r="P56" s="116">
        <v>85573</v>
      </c>
      <c r="Q56" s="116">
        <v>106498</v>
      </c>
      <c r="R56" s="116">
        <v>104606</v>
      </c>
      <c r="S56" s="116">
        <v>129815.26666666666</v>
      </c>
      <c r="T56" s="116">
        <v>119550</v>
      </c>
      <c r="U56" s="116">
        <v>127811.2</v>
      </c>
      <c r="V56" s="212">
        <v>117894</v>
      </c>
      <c r="W56" s="116">
        <f t="shared" ref="W56:AF56" si="18">V56+W14-W36</f>
        <v>109317</v>
      </c>
      <c r="X56" s="116">
        <f t="shared" si="18"/>
        <v>100311</v>
      </c>
      <c r="Y56" s="116">
        <f t="shared" si="18"/>
        <v>90944</v>
      </c>
      <c r="Z56" s="116">
        <f t="shared" si="18"/>
        <v>81015</v>
      </c>
      <c r="AA56" s="116">
        <f t="shared" si="18"/>
        <v>70689</v>
      </c>
      <c r="AB56" s="212">
        <f t="shared" si="18"/>
        <v>60054</v>
      </c>
      <c r="AC56" s="257">
        <f t="shared" si="18"/>
        <v>49206</v>
      </c>
      <c r="AD56" s="116">
        <f t="shared" si="18"/>
        <v>38032</v>
      </c>
      <c r="AE56" s="116">
        <f t="shared" si="18"/>
        <v>26635</v>
      </c>
      <c r="AF56" s="116">
        <f t="shared" si="18"/>
        <v>15010</v>
      </c>
      <c r="AG56" s="7"/>
    </row>
    <row r="57" spans="1:33" ht="12.75">
      <c r="A57" s="866"/>
      <c r="B57" s="259" t="s">
        <v>131</v>
      </c>
      <c r="C57" s="255">
        <v>17498</v>
      </c>
      <c r="D57" s="256">
        <f t="shared" si="7"/>
        <v>17093.870967741936</v>
      </c>
      <c r="E57" s="256">
        <f t="shared" si="8"/>
        <v>-75.129032258064399</v>
      </c>
      <c r="F57" s="178"/>
      <c r="G57" s="178"/>
      <c r="H57" s="178"/>
      <c r="I57" s="865"/>
      <c r="J57" s="866"/>
      <c r="K57" s="205" t="s">
        <v>131</v>
      </c>
      <c r="L57" s="116">
        <v>4250</v>
      </c>
      <c r="M57" s="116">
        <v>6898</v>
      </c>
      <c r="N57" s="116">
        <v>7529</v>
      </c>
      <c r="O57" s="116">
        <v>13264</v>
      </c>
      <c r="P57" s="116">
        <v>14341</v>
      </c>
      <c r="Q57" s="116">
        <v>15055</v>
      </c>
      <c r="R57" s="116">
        <v>17143</v>
      </c>
      <c r="S57" s="116">
        <v>17751.733333333334</v>
      </c>
      <c r="T57" s="116">
        <v>16395</v>
      </c>
      <c r="U57" s="116">
        <v>18375</v>
      </c>
      <c r="V57" s="212">
        <v>17169</v>
      </c>
      <c r="W57" s="116">
        <f t="shared" ref="W57:AF57" si="19">V57+W15-W37</f>
        <v>15749</v>
      </c>
      <c r="X57" s="116">
        <f t="shared" si="19"/>
        <v>14301</v>
      </c>
      <c r="Y57" s="116">
        <f t="shared" si="19"/>
        <v>12824</v>
      </c>
      <c r="Z57" s="116">
        <f t="shared" si="19"/>
        <v>11258</v>
      </c>
      <c r="AA57" s="116">
        <f t="shared" si="19"/>
        <v>9583</v>
      </c>
      <c r="AB57" s="212">
        <f t="shared" si="19"/>
        <v>7857</v>
      </c>
      <c r="AC57" s="257">
        <f t="shared" si="19"/>
        <v>6080</v>
      </c>
      <c r="AD57" s="116">
        <f t="shared" si="19"/>
        <v>4249</v>
      </c>
      <c r="AE57" s="116">
        <f t="shared" si="19"/>
        <v>2382</v>
      </c>
      <c r="AF57" s="116">
        <f t="shared" si="19"/>
        <v>477</v>
      </c>
      <c r="AG57" s="7"/>
    </row>
    <row r="58" spans="1:33" ht="12.75">
      <c r="A58" s="902" t="s">
        <v>132</v>
      </c>
      <c r="B58" s="260" t="s">
        <v>133</v>
      </c>
      <c r="C58" s="255">
        <v>3023</v>
      </c>
      <c r="D58" s="256">
        <f t="shared" si="7"/>
        <v>2969</v>
      </c>
      <c r="E58" s="256">
        <f t="shared" si="8"/>
        <v>-16</v>
      </c>
      <c r="F58" s="178"/>
      <c r="G58" s="178"/>
      <c r="H58" s="178"/>
      <c r="I58" s="865"/>
      <c r="J58" s="893" t="s">
        <v>132</v>
      </c>
      <c r="K58" s="210" t="s">
        <v>133</v>
      </c>
      <c r="L58" s="116">
        <v>2648</v>
      </c>
      <c r="M58" s="116">
        <v>3114</v>
      </c>
      <c r="N58" s="116">
        <v>2602</v>
      </c>
      <c r="O58" s="116">
        <v>2045</v>
      </c>
      <c r="P58" s="116">
        <v>1299</v>
      </c>
      <c r="Q58" s="116">
        <v>945</v>
      </c>
      <c r="R58" s="116">
        <v>709</v>
      </c>
      <c r="S58" s="116">
        <v>467.5333333333333</v>
      </c>
      <c r="T58" s="116">
        <v>259</v>
      </c>
      <c r="U58" s="116">
        <v>3100.2</v>
      </c>
      <c r="V58" s="212">
        <v>2985</v>
      </c>
      <c r="W58" s="116">
        <f t="shared" ref="W58:AF58" si="20">V58+W16-W38</f>
        <v>2795</v>
      </c>
      <c r="X58" s="116">
        <f t="shared" si="20"/>
        <v>2603</v>
      </c>
      <c r="Y58" s="116">
        <f t="shared" si="20"/>
        <v>2409</v>
      </c>
      <c r="Z58" s="116">
        <f t="shared" si="20"/>
        <v>2212</v>
      </c>
      <c r="AA58" s="116">
        <f t="shared" si="20"/>
        <v>2011</v>
      </c>
      <c r="AB58" s="212">
        <f t="shared" si="20"/>
        <v>1806</v>
      </c>
      <c r="AC58" s="257">
        <f t="shared" si="20"/>
        <v>1597</v>
      </c>
      <c r="AD58" s="116">
        <f t="shared" si="20"/>
        <v>1383</v>
      </c>
      <c r="AE58" s="116">
        <f t="shared" si="20"/>
        <v>1165</v>
      </c>
      <c r="AF58" s="116">
        <f t="shared" si="20"/>
        <v>943</v>
      </c>
      <c r="AG58" s="7"/>
    </row>
    <row r="59" spans="1:33" ht="12.75">
      <c r="A59" s="866"/>
      <c r="B59" s="260" t="s">
        <v>134</v>
      </c>
      <c r="C59" s="255">
        <v>847</v>
      </c>
      <c r="D59" s="256">
        <f t="shared" si="7"/>
        <v>797.35483870967744</v>
      </c>
      <c r="E59" s="256">
        <f t="shared" si="8"/>
        <v>-9.6451612903225623</v>
      </c>
      <c r="F59" s="178"/>
      <c r="G59" s="178"/>
      <c r="H59" s="178"/>
      <c r="I59" s="865"/>
      <c r="J59" s="866"/>
      <c r="K59" s="210" t="s">
        <v>134</v>
      </c>
      <c r="L59" s="116">
        <v>548</v>
      </c>
      <c r="M59" s="116">
        <v>422</v>
      </c>
      <c r="N59" s="116">
        <v>1326</v>
      </c>
      <c r="O59" s="116">
        <v>2131</v>
      </c>
      <c r="P59" s="116">
        <v>1915</v>
      </c>
      <c r="Q59" s="116">
        <v>1683</v>
      </c>
      <c r="R59" s="116">
        <v>1573</v>
      </c>
      <c r="S59" s="116">
        <v>1417.5333333333333</v>
      </c>
      <c r="T59" s="116">
        <v>1175</v>
      </c>
      <c r="U59" s="116">
        <v>965.93333333333328</v>
      </c>
      <c r="V59" s="212">
        <v>807</v>
      </c>
      <c r="W59" s="116">
        <f t="shared" ref="W59:AF59" si="21">V59+W17-W39</f>
        <v>631</v>
      </c>
      <c r="X59" s="116">
        <f t="shared" si="21"/>
        <v>451</v>
      </c>
      <c r="Y59" s="116">
        <f t="shared" si="21"/>
        <v>268</v>
      </c>
      <c r="Z59" s="116">
        <f t="shared" si="21"/>
        <v>81</v>
      </c>
      <c r="AA59" s="116">
        <f t="shared" si="21"/>
        <v>898</v>
      </c>
      <c r="AB59" s="212">
        <f t="shared" si="21"/>
        <v>704</v>
      </c>
      <c r="AC59" s="257">
        <f t="shared" si="21"/>
        <v>506</v>
      </c>
      <c r="AD59" s="116">
        <f t="shared" si="21"/>
        <v>302</v>
      </c>
      <c r="AE59" s="116">
        <f t="shared" si="21"/>
        <v>96</v>
      </c>
      <c r="AF59" s="116">
        <f t="shared" si="21"/>
        <v>-112</v>
      </c>
      <c r="AG59" s="7"/>
    </row>
    <row r="60" spans="1:33" ht="12.75">
      <c r="A60" s="903" t="s">
        <v>135</v>
      </c>
      <c r="B60" s="261" t="s">
        <v>136</v>
      </c>
      <c r="C60" s="255">
        <v>13259</v>
      </c>
      <c r="D60" s="256">
        <f t="shared" si="7"/>
        <v>12991.612903225807</v>
      </c>
      <c r="E60" s="256">
        <f t="shared" si="8"/>
        <v>-171.3870967741932</v>
      </c>
      <c r="F60" s="178"/>
      <c r="G60" s="178"/>
      <c r="H60" s="178"/>
      <c r="I60" s="865"/>
      <c r="J60" s="895" t="s">
        <v>135</v>
      </c>
      <c r="K60" s="217" t="s">
        <v>136</v>
      </c>
      <c r="L60" s="117">
        <v>0</v>
      </c>
      <c r="M60" s="117">
        <v>0</v>
      </c>
      <c r="N60" s="117">
        <v>3431</v>
      </c>
      <c r="O60" s="117">
        <v>3423</v>
      </c>
      <c r="P60" s="117">
        <v>6159</v>
      </c>
      <c r="Q60" s="117">
        <v>12623</v>
      </c>
      <c r="R60" s="117">
        <v>12311</v>
      </c>
      <c r="S60" s="117">
        <v>11888</v>
      </c>
      <c r="T60" s="117">
        <v>11535</v>
      </c>
      <c r="U60" s="262">
        <v>13854</v>
      </c>
      <c r="V60" s="212">
        <v>13163</v>
      </c>
      <c r="W60" s="116">
        <f t="shared" ref="W60:W62" si="22">V60+W18-W40</f>
        <v>12233</v>
      </c>
      <c r="X60" s="263">
        <f>W60+X18-X40-1100</f>
        <v>10175</v>
      </c>
      <c r="Y60" s="264">
        <f>X60+Y18-Y40-5600</f>
        <v>3608</v>
      </c>
      <c r="Z60" s="262">
        <f>Y60+Z18-Z40</f>
        <v>2631</v>
      </c>
      <c r="AA60" s="265">
        <f t="shared" ref="AA60:AA61" si="23">Z60+AA18-AA40-2000</f>
        <v>-356</v>
      </c>
      <c r="AB60" s="212">
        <f t="shared" ref="AB60:AC60" si="24">AA60+AB18-AB40</f>
        <v>2069</v>
      </c>
      <c r="AC60" s="257">
        <f t="shared" si="24"/>
        <v>1042</v>
      </c>
      <c r="AD60" s="116">
        <f t="shared" ref="AD60:AF60" si="25">AC60+AD18-AD40-1000</f>
        <v>-1005</v>
      </c>
      <c r="AE60" s="116">
        <f t="shared" si="25"/>
        <v>-3073</v>
      </c>
      <c r="AF60" s="116">
        <f t="shared" si="25"/>
        <v>-5163</v>
      </c>
      <c r="AG60" s="7"/>
    </row>
    <row r="61" spans="1:33" ht="12.75">
      <c r="A61" s="865"/>
      <c r="B61" s="261" t="s">
        <v>137</v>
      </c>
      <c r="C61" s="255">
        <v>13195</v>
      </c>
      <c r="D61" s="256">
        <f t="shared" si="7"/>
        <v>12891.612903225807</v>
      </c>
      <c r="E61" s="256">
        <f t="shared" si="8"/>
        <v>-167.3870967741932</v>
      </c>
      <c r="F61" s="178"/>
      <c r="G61" s="178"/>
      <c r="H61" s="178"/>
      <c r="I61" s="865"/>
      <c r="J61" s="865"/>
      <c r="K61" s="217" t="s">
        <v>137</v>
      </c>
      <c r="L61" s="117">
        <v>0</v>
      </c>
      <c r="M61" s="117">
        <v>0</v>
      </c>
      <c r="N61" s="117">
        <v>3431</v>
      </c>
      <c r="O61" s="117">
        <v>3415</v>
      </c>
      <c r="P61" s="117">
        <v>6143</v>
      </c>
      <c r="Q61" s="117">
        <v>12719</v>
      </c>
      <c r="R61" s="117">
        <v>12455</v>
      </c>
      <c r="S61" s="117">
        <v>12059</v>
      </c>
      <c r="T61" s="117">
        <v>11639</v>
      </c>
      <c r="U61" s="266">
        <v>13860</v>
      </c>
      <c r="V61" s="212">
        <v>13059</v>
      </c>
      <c r="W61" s="116">
        <f t="shared" si="22"/>
        <v>11983</v>
      </c>
      <c r="X61" s="263">
        <f t="shared" ref="X61:X62" si="26">W61+X19-X41-600</f>
        <v>10275</v>
      </c>
      <c r="Y61" s="267">
        <f t="shared" ref="Y61:Y62" si="27">X61+Y19-Y41</f>
        <v>9144</v>
      </c>
      <c r="Z61" s="265">
        <f>Y61+Z19-Z41-4900</f>
        <v>3102</v>
      </c>
      <c r="AA61" s="265">
        <f t="shared" si="23"/>
        <v>-51</v>
      </c>
      <c r="AB61" s="212">
        <f t="shared" ref="AB61:AC61" si="28">AA61+AB19-AB41</f>
        <v>2193</v>
      </c>
      <c r="AC61" s="257">
        <f t="shared" si="28"/>
        <v>981</v>
      </c>
      <c r="AD61" s="116">
        <f t="shared" ref="AD61:AF61" si="29">AC61+AD19-AD41-100</f>
        <v>-355</v>
      </c>
      <c r="AE61" s="116">
        <f t="shared" si="29"/>
        <v>-1716</v>
      </c>
      <c r="AF61" s="116">
        <f t="shared" si="29"/>
        <v>-3102</v>
      </c>
      <c r="AG61" s="7"/>
    </row>
    <row r="62" spans="1:33" ht="12.75">
      <c r="A62" s="865"/>
      <c r="B62" s="261" t="s">
        <v>138</v>
      </c>
      <c r="C62" s="255">
        <v>6335</v>
      </c>
      <c r="D62" s="256">
        <f t="shared" si="7"/>
        <v>6075.1612903225805</v>
      </c>
      <c r="E62" s="256">
        <f t="shared" si="8"/>
        <v>327.1612903225805</v>
      </c>
      <c r="F62" s="178"/>
      <c r="G62" s="178"/>
      <c r="H62" s="178"/>
      <c r="I62" s="865"/>
      <c r="J62" s="865"/>
      <c r="K62" s="217" t="s">
        <v>138</v>
      </c>
      <c r="L62" s="117">
        <v>0</v>
      </c>
      <c r="M62" s="117">
        <v>0</v>
      </c>
      <c r="N62" s="117">
        <v>3431</v>
      </c>
      <c r="O62" s="117">
        <v>3375</v>
      </c>
      <c r="P62" s="117">
        <v>6003</v>
      </c>
      <c r="Q62" s="117">
        <v>5547</v>
      </c>
      <c r="R62" s="117">
        <v>5219</v>
      </c>
      <c r="S62" s="117">
        <v>4902</v>
      </c>
      <c r="T62" s="117">
        <v>4659</v>
      </c>
      <c r="U62" s="116">
        <v>6784</v>
      </c>
      <c r="V62" s="258">
        <v>5748</v>
      </c>
      <c r="W62" s="116">
        <f t="shared" si="22"/>
        <v>4835</v>
      </c>
      <c r="X62" s="263">
        <f t="shared" si="26"/>
        <v>3304</v>
      </c>
      <c r="Y62" s="267">
        <f t="shared" si="27"/>
        <v>2354</v>
      </c>
      <c r="Z62" s="267">
        <f t="shared" ref="Z62:AA62" si="30">Y62+Z20-Z42</f>
        <v>1394</v>
      </c>
      <c r="AA62" s="116">
        <f t="shared" si="30"/>
        <v>425</v>
      </c>
      <c r="AB62" s="212">
        <f>AA62+AB20-AB42-500</f>
        <v>5791</v>
      </c>
      <c r="AC62" s="257">
        <f>AB62+AC20-AC42</f>
        <v>4773</v>
      </c>
      <c r="AD62" s="116">
        <f t="shared" ref="AD62:AF62" si="31">AC62+AD20-AD42-2200</f>
        <v>1534</v>
      </c>
      <c r="AE62" s="116">
        <f t="shared" si="31"/>
        <v>-1725</v>
      </c>
      <c r="AF62" s="116">
        <f t="shared" si="31"/>
        <v>-5006</v>
      </c>
      <c r="AG62" s="7"/>
    </row>
    <row r="63" spans="1:33" ht="12.75">
      <c r="A63" s="866"/>
      <c r="B63" s="261" t="s">
        <v>139</v>
      </c>
      <c r="C63" s="255">
        <v>6196</v>
      </c>
      <c r="D63" s="256">
        <f t="shared" si="7"/>
        <v>5962.2903225806449</v>
      </c>
      <c r="E63" s="256">
        <f t="shared" si="8"/>
        <v>-177.7096774193551</v>
      </c>
      <c r="F63" s="178"/>
      <c r="G63" s="178"/>
      <c r="H63" s="178"/>
      <c r="I63" s="866"/>
      <c r="J63" s="866"/>
      <c r="K63" s="217" t="s">
        <v>139</v>
      </c>
      <c r="L63" s="117">
        <v>0</v>
      </c>
      <c r="M63" s="117">
        <v>0</v>
      </c>
      <c r="N63" s="117">
        <v>3408</v>
      </c>
      <c r="O63" s="117">
        <v>3320</v>
      </c>
      <c r="P63" s="117">
        <v>5680</v>
      </c>
      <c r="Q63" s="117">
        <v>5320</v>
      </c>
      <c r="R63" s="117">
        <v>4936</v>
      </c>
      <c r="S63" s="117">
        <v>4713</v>
      </c>
      <c r="T63" s="117">
        <v>4400</v>
      </c>
      <c r="U63" s="266">
        <v>6540</v>
      </c>
      <c r="V63" s="212">
        <v>6140</v>
      </c>
      <c r="W63" s="214">
        <f>V63+W21-W43-1800</f>
        <v>3551</v>
      </c>
      <c r="X63" s="144">
        <f t="shared" ref="X63:Y63" si="32">W63+X21-X43</f>
        <v>2754</v>
      </c>
      <c r="Y63" s="267">
        <f t="shared" si="32"/>
        <v>1949</v>
      </c>
      <c r="Z63" s="264">
        <f>Y63+Z21-Z43-1000</f>
        <v>136</v>
      </c>
      <c r="AA63" s="116">
        <f t="shared" ref="AA63:AB63" si="33">Z63+AA21-AA43</f>
        <v>-685</v>
      </c>
      <c r="AB63" s="212">
        <f t="shared" si="33"/>
        <v>5342</v>
      </c>
      <c r="AC63" s="257">
        <f>AB63+AC21-AC43-3000</f>
        <v>1488</v>
      </c>
      <c r="AD63" s="116">
        <f t="shared" ref="AD63:AF63" si="34">AC63+AD21-AD43</f>
        <v>617</v>
      </c>
      <c r="AE63" s="116">
        <f t="shared" si="34"/>
        <v>-272</v>
      </c>
      <c r="AF63" s="116">
        <f t="shared" si="34"/>
        <v>-1178</v>
      </c>
      <c r="AG63" s="7"/>
    </row>
    <row r="64" spans="1:33" ht="12.75">
      <c r="F64" s="178"/>
      <c r="G64" s="178"/>
      <c r="H64" s="178"/>
      <c r="I64" s="268"/>
      <c r="J64" s="896" t="s">
        <v>38</v>
      </c>
      <c r="K64" s="860"/>
      <c r="L64" s="270">
        <f t="shared" ref="L64:AF64" si="35">SUM(L48:L63)</f>
        <v>129874</v>
      </c>
      <c r="M64" s="270">
        <f t="shared" si="35"/>
        <v>150160</v>
      </c>
      <c r="N64" s="270">
        <f t="shared" si="35"/>
        <v>183362</v>
      </c>
      <c r="O64" s="270">
        <f t="shared" si="35"/>
        <v>267173</v>
      </c>
      <c r="P64" s="270">
        <f t="shared" si="35"/>
        <v>293785</v>
      </c>
      <c r="Q64" s="270">
        <f t="shared" si="35"/>
        <v>275253</v>
      </c>
      <c r="R64" s="270">
        <f t="shared" si="35"/>
        <v>268277</v>
      </c>
      <c r="S64" s="270">
        <f t="shared" si="35"/>
        <v>340767.24</v>
      </c>
      <c r="T64" s="270">
        <f t="shared" si="35"/>
        <v>353779</v>
      </c>
      <c r="U64" s="270">
        <f t="shared" si="35"/>
        <v>381969.80000000005</v>
      </c>
      <c r="V64" s="271">
        <f t="shared" si="35"/>
        <v>358282</v>
      </c>
      <c r="W64" s="270">
        <f t="shared" si="35"/>
        <v>331177</v>
      </c>
      <c r="X64" s="270">
        <f t="shared" si="35"/>
        <v>302558</v>
      </c>
      <c r="Y64" s="270">
        <f t="shared" si="35"/>
        <v>269996</v>
      </c>
      <c r="Z64" s="270">
        <f t="shared" si="35"/>
        <v>235743</v>
      </c>
      <c r="AA64" s="270">
        <f t="shared" si="35"/>
        <v>202750</v>
      </c>
      <c r="AB64" s="271">
        <f t="shared" si="35"/>
        <v>188312</v>
      </c>
      <c r="AC64" s="272">
        <f t="shared" si="35"/>
        <v>154639</v>
      </c>
      <c r="AD64" s="270">
        <f t="shared" si="35"/>
        <v>119536</v>
      </c>
      <c r="AE64" s="270">
        <f t="shared" si="35"/>
        <v>72278</v>
      </c>
      <c r="AF64" s="270">
        <f t="shared" si="35"/>
        <v>31580</v>
      </c>
      <c r="AG64" s="7"/>
    </row>
    <row r="65" spans="1:33" ht="12.75">
      <c r="A65" s="178"/>
      <c r="B65" s="178"/>
      <c r="C65" s="249"/>
      <c r="D65" s="178"/>
      <c r="E65" s="178"/>
      <c r="F65" s="178"/>
      <c r="G65" s="178"/>
      <c r="H65" s="178"/>
      <c r="I65" s="273"/>
      <c r="J65" s="273"/>
      <c r="K65" s="273"/>
      <c r="L65" s="183"/>
      <c r="M65" s="183"/>
      <c r="N65" s="183"/>
      <c r="O65" s="183"/>
      <c r="P65" s="183"/>
      <c r="Q65" s="183"/>
      <c r="R65" s="183"/>
      <c r="S65" s="183"/>
      <c r="T65" s="183"/>
      <c r="V65" s="183"/>
      <c r="W65" s="183"/>
      <c r="X65" s="183"/>
      <c r="Y65" s="183"/>
      <c r="Z65" s="183"/>
      <c r="AG65" s="7"/>
    </row>
    <row r="66" spans="1:33" ht="12.75">
      <c r="A66" s="178"/>
      <c r="B66" s="178"/>
      <c r="C66" s="178"/>
      <c r="D66" s="178"/>
      <c r="E66" s="178"/>
      <c r="F66" s="178"/>
      <c r="G66" s="178"/>
      <c r="H66" s="178"/>
      <c r="I66" s="180"/>
      <c r="J66" s="180"/>
      <c r="K66" s="180"/>
      <c r="AG66" s="7"/>
    </row>
    <row r="67" spans="1:33" ht="12.75" outlineLevel="1">
      <c r="A67" s="178"/>
      <c r="B67" s="178"/>
      <c r="C67" s="178"/>
      <c r="D67" s="178"/>
      <c r="E67" s="178"/>
      <c r="F67" s="178"/>
      <c r="G67" s="178"/>
      <c r="H67" s="178"/>
      <c r="I67" s="897" t="s">
        <v>56</v>
      </c>
      <c r="J67" s="862"/>
      <c r="K67" s="862"/>
      <c r="L67" s="269" t="s">
        <v>14</v>
      </c>
      <c r="M67" s="269" t="s">
        <v>15</v>
      </c>
      <c r="N67" s="269" t="s">
        <v>16</v>
      </c>
      <c r="O67" s="269" t="s">
        <v>17</v>
      </c>
      <c r="P67" s="269" t="s">
        <v>18</v>
      </c>
      <c r="Q67" s="269" t="s">
        <v>19</v>
      </c>
      <c r="R67" s="269" t="s">
        <v>20</v>
      </c>
      <c r="S67" s="269" t="s">
        <v>21</v>
      </c>
      <c r="T67" s="269" t="s">
        <v>22</v>
      </c>
      <c r="U67" s="269" t="s">
        <v>23</v>
      </c>
      <c r="V67" s="274" t="s">
        <v>107</v>
      </c>
      <c r="W67" s="269" t="s">
        <v>25</v>
      </c>
      <c r="X67" s="269" t="s">
        <v>26</v>
      </c>
      <c r="Y67" s="269" t="s">
        <v>15</v>
      </c>
      <c r="Z67" s="269" t="s">
        <v>16</v>
      </c>
      <c r="AA67" s="269" t="s">
        <v>17</v>
      </c>
      <c r="AB67" s="274" t="s">
        <v>18</v>
      </c>
      <c r="AC67" s="252" t="s">
        <v>19</v>
      </c>
      <c r="AD67" s="253" t="s">
        <v>20</v>
      </c>
      <c r="AE67" s="253" t="s">
        <v>21</v>
      </c>
      <c r="AF67" s="253" t="s">
        <v>22</v>
      </c>
      <c r="AG67" s="7"/>
    </row>
    <row r="68" spans="1:33" ht="12.75" outlineLevel="1">
      <c r="A68" s="178"/>
      <c r="B68" s="178"/>
      <c r="C68" s="178"/>
      <c r="D68" s="178"/>
      <c r="E68" s="178"/>
      <c r="F68" s="178"/>
      <c r="G68" s="178"/>
      <c r="H68" s="178"/>
      <c r="I68" s="912" t="s">
        <v>57</v>
      </c>
      <c r="J68" s="891" t="s">
        <v>27</v>
      </c>
      <c r="K68" s="190" t="s">
        <v>110</v>
      </c>
      <c r="L68" s="136">
        <f t="shared" ref="L68:AF68" si="36">L48/L28</f>
        <v>5.7098591549295774</v>
      </c>
      <c r="M68" s="136">
        <f t="shared" si="36"/>
        <v>7.324435318275154</v>
      </c>
      <c r="N68" s="136">
        <f t="shared" si="36"/>
        <v>5.4881516587677721</v>
      </c>
      <c r="O68" s="136">
        <f t="shared" si="36"/>
        <v>4.2859154929577468</v>
      </c>
      <c r="P68" s="136">
        <f t="shared" si="36"/>
        <v>3.2477558348294435</v>
      </c>
      <c r="Q68" s="136">
        <f t="shared" si="36"/>
        <v>10.903553299492385</v>
      </c>
      <c r="R68" s="136">
        <f t="shared" si="36"/>
        <v>14.30379746835443</v>
      </c>
      <c r="S68" s="136">
        <f t="shared" si="36"/>
        <v>16.828571428571429</v>
      </c>
      <c r="T68" s="136">
        <f t="shared" si="36"/>
        <v>43.61904761904762</v>
      </c>
      <c r="U68" s="136">
        <f t="shared" si="36"/>
        <v>25.305035971223024</v>
      </c>
      <c r="V68" s="137">
        <f t="shared" si="36"/>
        <v>23.971830985915492</v>
      </c>
      <c r="W68" s="136">
        <f t="shared" si="36"/>
        <v>22</v>
      </c>
      <c r="X68" s="136">
        <f t="shared" si="36"/>
        <v>20.142857142857142</v>
      </c>
      <c r="Y68" s="136">
        <f t="shared" si="36"/>
        <v>19.543046357615893</v>
      </c>
      <c r="Z68" s="136">
        <f t="shared" si="36"/>
        <v>15.862857142857143</v>
      </c>
      <c r="AA68" s="136">
        <f t="shared" si="36"/>
        <v>12.949748743718592</v>
      </c>
      <c r="AB68" s="137">
        <f t="shared" si="36"/>
        <v>10.556053811659194</v>
      </c>
      <c r="AC68" s="275">
        <f t="shared" si="36"/>
        <v>8.6872427983539087</v>
      </c>
      <c r="AD68" s="136">
        <f t="shared" si="36"/>
        <v>7.1821705426356592</v>
      </c>
      <c r="AE68" s="136">
        <f t="shared" si="36"/>
        <v>5.8629629629629632</v>
      </c>
      <c r="AF68" s="136">
        <f t="shared" si="36"/>
        <v>4.6334519572953736</v>
      </c>
      <c r="AG68" s="7"/>
    </row>
    <row r="69" spans="1:33" ht="12.75" outlineLevel="1">
      <c r="A69" s="178"/>
      <c r="B69" s="178"/>
      <c r="C69" s="178"/>
      <c r="D69" s="178"/>
      <c r="E69" s="178"/>
      <c r="F69" s="178"/>
      <c r="G69" s="178"/>
      <c r="H69" s="178"/>
      <c r="I69" s="865"/>
      <c r="J69" s="865"/>
      <c r="K69" s="190">
        <v>1</v>
      </c>
      <c r="L69" s="136">
        <f t="shared" ref="L69:AF69" si="37">L49/L29</f>
        <v>0.61338991041961344</v>
      </c>
      <c r="M69" s="136">
        <f t="shared" si="37"/>
        <v>0</v>
      </c>
      <c r="N69" s="136">
        <f t="shared" si="37"/>
        <v>1.4469525959367946</v>
      </c>
      <c r="O69" s="136">
        <f t="shared" si="37"/>
        <v>2.8421658986175116</v>
      </c>
      <c r="P69" s="136">
        <f t="shared" si="37"/>
        <v>3.5950029052876236</v>
      </c>
      <c r="Q69" s="136">
        <f t="shared" si="37"/>
        <v>11.243440233236152</v>
      </c>
      <c r="R69" s="136">
        <f t="shared" si="37"/>
        <v>12.853115727002967</v>
      </c>
      <c r="S69" s="136">
        <f t="shared" si="37"/>
        <v>9.7776137761377608</v>
      </c>
      <c r="T69" s="136">
        <f t="shared" si="37"/>
        <v>14.594377510040161</v>
      </c>
      <c r="U69" s="136">
        <f t="shared" si="37"/>
        <v>13.921579430670342</v>
      </c>
      <c r="V69" s="137">
        <f t="shared" si="37"/>
        <v>15.156739811912226</v>
      </c>
      <c r="W69" s="136">
        <f t="shared" si="37"/>
        <v>13.854070660522273</v>
      </c>
      <c r="X69" s="136">
        <f t="shared" si="37"/>
        <v>12.582831325301205</v>
      </c>
      <c r="Y69" s="136">
        <f t="shared" si="37"/>
        <v>11.71689497716895</v>
      </c>
      <c r="Z69" s="136">
        <f t="shared" si="37"/>
        <v>10.044476327116213</v>
      </c>
      <c r="AA69" s="136">
        <f t="shared" si="37"/>
        <v>8.577291381668946</v>
      </c>
      <c r="AB69" s="137">
        <f t="shared" si="37"/>
        <v>7.2391590013140608</v>
      </c>
      <c r="AC69" s="275">
        <f t="shared" si="37"/>
        <v>6.0357598978288634</v>
      </c>
      <c r="AD69" s="136">
        <f t="shared" si="37"/>
        <v>4.9148936170212769</v>
      </c>
      <c r="AE69" s="136">
        <f t="shared" si="37"/>
        <v>3.7715674362089917</v>
      </c>
      <c r="AF69" s="136">
        <f t="shared" si="37"/>
        <v>2.6952380952380954</v>
      </c>
      <c r="AG69" s="7"/>
    </row>
    <row r="70" spans="1:33" ht="12.75" outlineLevel="1">
      <c r="A70" s="178"/>
      <c r="B70" s="178"/>
      <c r="C70" s="178"/>
      <c r="D70" s="178"/>
      <c r="E70" s="178"/>
      <c r="F70" s="178"/>
      <c r="G70" s="178"/>
      <c r="H70" s="178"/>
      <c r="I70" s="865"/>
      <c r="J70" s="865"/>
      <c r="K70" s="190" t="s">
        <v>119</v>
      </c>
      <c r="L70" s="136">
        <f t="shared" ref="L70:AF70" si="38">L50/L30</f>
        <v>5.3204144282425174</v>
      </c>
      <c r="M70" s="136">
        <f t="shared" si="38"/>
        <v>5.7006704980842908</v>
      </c>
      <c r="N70" s="136">
        <f t="shared" si="38"/>
        <v>5.6898876404494381</v>
      </c>
      <c r="O70" s="136">
        <f t="shared" si="38"/>
        <v>4.7923340961098395</v>
      </c>
      <c r="P70" s="136">
        <f t="shared" si="38"/>
        <v>10.0491452991453</v>
      </c>
      <c r="Q70" s="136">
        <f t="shared" si="38"/>
        <v>0</v>
      </c>
      <c r="R70" s="136">
        <f t="shared" si="38"/>
        <v>0</v>
      </c>
      <c r="S70" s="136">
        <f t="shared" si="38"/>
        <v>-2.6666666666666668E-4</v>
      </c>
      <c r="T70" s="136">
        <f t="shared" si="38"/>
        <v>21.299663299663301</v>
      </c>
      <c r="U70" s="136">
        <f t="shared" si="38"/>
        <v>20.901609195402298</v>
      </c>
      <c r="V70" s="137">
        <f t="shared" si="38"/>
        <v>19.183333333333334</v>
      </c>
      <c r="W70" s="136">
        <f t="shared" si="38"/>
        <v>15.681159420289855</v>
      </c>
      <c r="X70" s="136">
        <f t="shared" si="38"/>
        <v>11.759433962264151</v>
      </c>
      <c r="Y70" s="136">
        <f t="shared" si="38"/>
        <v>11.496240601503759</v>
      </c>
      <c r="Z70" s="136">
        <f t="shared" si="38"/>
        <v>9.7423887587822016</v>
      </c>
      <c r="AA70" s="136">
        <f t="shared" si="38"/>
        <v>8.454545454545455</v>
      </c>
      <c r="AB70" s="137">
        <f t="shared" si="38"/>
        <v>8.2079207920792072</v>
      </c>
      <c r="AC70" s="275">
        <f t="shared" si="38"/>
        <v>7.0290556900726395</v>
      </c>
      <c r="AD70" s="136">
        <f t="shared" si="38"/>
        <v>4.8176352705410821</v>
      </c>
      <c r="AE70" s="136">
        <f t="shared" si="38"/>
        <v>-0.20504731861198738</v>
      </c>
      <c r="AF70" s="136">
        <f t="shared" si="38"/>
        <v>-1.1951951951951951</v>
      </c>
      <c r="AG70" s="7"/>
    </row>
    <row r="71" spans="1:33" ht="12.75" outlineLevel="1">
      <c r="A71" s="178"/>
      <c r="B71" s="178"/>
      <c r="C71" s="178"/>
      <c r="D71" s="178"/>
      <c r="E71" s="178"/>
      <c r="F71" s="178"/>
      <c r="G71" s="178"/>
      <c r="H71" s="178"/>
      <c r="I71" s="865"/>
      <c r="J71" s="865"/>
      <c r="K71" s="190">
        <v>2</v>
      </c>
      <c r="L71" s="136">
        <f t="shared" ref="L71:AF71" si="39">L51/L31</f>
        <v>4.6736111111111107</v>
      </c>
      <c r="M71" s="136">
        <f t="shared" si="39"/>
        <v>4.3784000000000001</v>
      </c>
      <c r="N71" s="136">
        <f t="shared" si="39"/>
        <v>2.3857383492419988</v>
      </c>
      <c r="O71" s="136">
        <f t="shared" si="39"/>
        <v>1.5913255956017105</v>
      </c>
      <c r="P71" s="136">
        <f t="shared" si="39"/>
        <v>1.2612419700214133</v>
      </c>
      <c r="Q71" s="136">
        <f t="shared" si="39"/>
        <v>2.874265569917744</v>
      </c>
      <c r="R71" s="136">
        <f t="shared" si="39"/>
        <v>2.4641805691854759</v>
      </c>
      <c r="S71" s="136">
        <f t="shared" si="39"/>
        <v>0.82212786034442087</v>
      </c>
      <c r="T71" s="136">
        <f t="shared" si="39"/>
        <v>5.7226765799256505</v>
      </c>
      <c r="U71" s="136">
        <f t="shared" si="39"/>
        <v>5.4342237061769616</v>
      </c>
      <c r="V71" s="137">
        <f t="shared" si="39"/>
        <v>4.8236316246741966</v>
      </c>
      <c r="W71" s="136">
        <f t="shared" si="39"/>
        <v>3.6812816188870152</v>
      </c>
      <c r="X71" s="136">
        <f t="shared" si="39"/>
        <v>2.6112489660876759</v>
      </c>
      <c r="Y71" s="136">
        <f t="shared" si="39"/>
        <v>1.6641350210970465</v>
      </c>
      <c r="Z71" s="136">
        <f t="shared" si="39"/>
        <v>0.60064935064935066</v>
      </c>
      <c r="AA71" s="136">
        <f t="shared" si="39"/>
        <v>-0.41686367218282111</v>
      </c>
      <c r="AB71" s="137">
        <f t="shared" si="39"/>
        <v>-1.4208432776451869</v>
      </c>
      <c r="AC71" s="275">
        <f t="shared" si="39"/>
        <v>-2.4651353568498768</v>
      </c>
      <c r="AD71" s="136">
        <f t="shared" si="39"/>
        <v>-3.1433666191155494</v>
      </c>
      <c r="AE71" s="136">
        <f t="shared" si="39"/>
        <v>-3.9656796769851952</v>
      </c>
      <c r="AF71" s="136">
        <f t="shared" si="39"/>
        <v>-4.8491182233834094</v>
      </c>
      <c r="AG71" s="7"/>
    </row>
    <row r="72" spans="1:33" ht="12.75" outlineLevel="1">
      <c r="A72" s="178"/>
      <c r="B72" s="178"/>
      <c r="C72" s="178"/>
      <c r="D72" s="178"/>
      <c r="E72" s="178"/>
      <c r="F72" s="178"/>
      <c r="G72" s="178"/>
      <c r="H72" s="178"/>
      <c r="I72" s="865"/>
      <c r="J72" s="865"/>
      <c r="K72" s="190" t="s">
        <v>124</v>
      </c>
      <c r="L72" s="136">
        <f t="shared" ref="L72:AF72" si="40">L52/L32</f>
        <v>5.7105772956218521</v>
      </c>
      <c r="M72" s="136">
        <f t="shared" si="40"/>
        <v>5.5870624723083742</v>
      </c>
      <c r="N72" s="136">
        <f t="shared" si="40"/>
        <v>5.5256078634247281</v>
      </c>
      <c r="O72" s="136">
        <f t="shared" si="40"/>
        <v>3.7746982565936524</v>
      </c>
      <c r="P72" s="136">
        <f t="shared" si="40"/>
        <v>7.0178571428571432</v>
      </c>
      <c r="Q72" s="136">
        <f t="shared" si="40"/>
        <v>12.637376237623762</v>
      </c>
      <c r="R72" s="136">
        <f t="shared" si="40"/>
        <v>16.779538904899134</v>
      </c>
      <c r="S72" s="136">
        <f t="shared" si="40"/>
        <v>17.299475890985327</v>
      </c>
      <c r="T72" s="136">
        <f t="shared" si="40"/>
        <v>37.660472972972975</v>
      </c>
      <c r="U72" s="136">
        <f t="shared" si="40"/>
        <v>46.076949740034664</v>
      </c>
      <c r="V72" s="137">
        <f t="shared" si="40"/>
        <v>45.149046793760832</v>
      </c>
      <c r="W72" s="136">
        <f t="shared" si="40"/>
        <v>41.566993464052288</v>
      </c>
      <c r="X72" s="136">
        <f t="shared" si="40"/>
        <v>33.377027027027026</v>
      </c>
      <c r="Y72" s="136">
        <f t="shared" si="40"/>
        <v>33.787323943661974</v>
      </c>
      <c r="Z72" s="136">
        <f t="shared" si="40"/>
        <v>28.874221668742216</v>
      </c>
      <c r="AA72" s="136">
        <f t="shared" si="40"/>
        <v>26.310761789600967</v>
      </c>
      <c r="AB72" s="137">
        <f t="shared" si="40"/>
        <v>21.679369250985545</v>
      </c>
      <c r="AC72" s="275">
        <f t="shared" si="40"/>
        <v>21.115281501340483</v>
      </c>
      <c r="AD72" s="136">
        <f t="shared" si="40"/>
        <v>17.707838479809975</v>
      </c>
      <c r="AE72" s="136">
        <f t="shared" si="40"/>
        <v>4.6896551724137927</v>
      </c>
      <c r="AF72" s="136">
        <f t="shared" si="40"/>
        <v>-0.28669950738916256</v>
      </c>
      <c r="AG72" s="7"/>
    </row>
    <row r="73" spans="1:33" ht="12.75" outlineLevel="1">
      <c r="A73" s="178"/>
      <c r="B73" s="178"/>
      <c r="C73" s="178"/>
      <c r="D73" s="178"/>
      <c r="E73" s="178"/>
      <c r="F73" s="178"/>
      <c r="G73" s="178"/>
      <c r="H73" s="178"/>
      <c r="I73" s="865"/>
      <c r="J73" s="866"/>
      <c r="K73" s="190">
        <v>3</v>
      </c>
      <c r="L73" s="136">
        <f t="shared" ref="L73:AF73" si="41">L53/L33</f>
        <v>4.3348281016442454E-2</v>
      </c>
      <c r="M73" s="136">
        <f t="shared" si="41"/>
        <v>0</v>
      </c>
      <c r="N73" s="136">
        <f t="shared" si="41"/>
        <v>2.7726218097447797</v>
      </c>
      <c r="O73" s="136">
        <f t="shared" si="41"/>
        <v>1.4235880398671097</v>
      </c>
      <c r="P73" s="136">
        <f t="shared" si="41"/>
        <v>0.53309481216457966</v>
      </c>
      <c r="Q73" s="136">
        <f t="shared" si="41"/>
        <v>6.3529411764705879</v>
      </c>
      <c r="R73" s="136">
        <f t="shared" si="41"/>
        <v>0.80808080808080807</v>
      </c>
      <c r="S73" s="136">
        <f t="shared" si="41"/>
        <v>0</v>
      </c>
      <c r="T73" s="136">
        <f t="shared" si="41"/>
        <v>19.399999999999999</v>
      </c>
      <c r="U73" s="136">
        <f t="shared" si="41"/>
        <v>14.069841269841271</v>
      </c>
      <c r="V73" s="137">
        <f t="shared" si="41"/>
        <v>11.97427652733119</v>
      </c>
      <c r="W73" s="136">
        <f t="shared" si="41"/>
        <v>10.747634069400631</v>
      </c>
      <c r="X73" s="136">
        <f t="shared" si="41"/>
        <v>9.6468749999999996</v>
      </c>
      <c r="Y73" s="136">
        <f t="shared" si="41"/>
        <v>8.5277777777777786</v>
      </c>
      <c r="Z73" s="136">
        <f t="shared" si="41"/>
        <v>7.372727272727273</v>
      </c>
      <c r="AA73" s="136">
        <f t="shared" si="41"/>
        <v>6.2195845697329375</v>
      </c>
      <c r="AB73" s="137">
        <f t="shared" si="41"/>
        <v>5.1647058823529415</v>
      </c>
      <c r="AC73" s="275">
        <f t="shared" si="41"/>
        <v>4.0605187319884726</v>
      </c>
      <c r="AD73" s="136">
        <f t="shared" si="41"/>
        <v>3.0257142857142858</v>
      </c>
      <c r="AE73" s="136">
        <f t="shared" si="41"/>
        <v>1.9663865546218486</v>
      </c>
      <c r="AF73" s="136">
        <f t="shared" si="41"/>
        <v>0.9285714285714286</v>
      </c>
      <c r="AG73" s="7"/>
    </row>
    <row r="74" spans="1:33" ht="12.75" outlineLevel="1">
      <c r="A74" s="178"/>
      <c r="B74" s="178"/>
      <c r="C74" s="178"/>
      <c r="D74" s="178"/>
      <c r="E74" s="178"/>
      <c r="F74" s="178"/>
      <c r="G74" s="178"/>
      <c r="H74" s="178"/>
      <c r="I74" s="865"/>
      <c r="J74" s="892" t="s">
        <v>32</v>
      </c>
      <c r="K74" s="205" t="s">
        <v>110</v>
      </c>
      <c r="L74" s="136">
        <f t="shared" ref="L74:AF74" si="42">L54/L34</f>
        <v>1.3580718414533444</v>
      </c>
      <c r="M74" s="136">
        <f t="shared" si="42"/>
        <v>2.2514019806705643</v>
      </c>
      <c r="N74" s="136">
        <f t="shared" si="42"/>
        <v>1.7703956085557448</v>
      </c>
      <c r="O74" s="136">
        <f t="shared" si="42"/>
        <v>2.5280221957986524</v>
      </c>
      <c r="P74" s="136">
        <f t="shared" si="42"/>
        <v>3.255698625369758</v>
      </c>
      <c r="Q74" s="136">
        <f t="shared" si="42"/>
        <v>7.2572767636901823</v>
      </c>
      <c r="R74" s="136">
        <f t="shared" si="42"/>
        <v>10.766051364365971</v>
      </c>
      <c r="S74" s="136">
        <f t="shared" si="42"/>
        <v>22.539265536723164</v>
      </c>
      <c r="T74" s="136">
        <f t="shared" si="42"/>
        <v>20.113734750098388</v>
      </c>
      <c r="U74" s="136">
        <f t="shared" si="42"/>
        <v>19.837541221474741</v>
      </c>
      <c r="V74" s="137">
        <f t="shared" si="42"/>
        <v>18.670050761421319</v>
      </c>
      <c r="W74" s="136">
        <f t="shared" si="42"/>
        <v>16.95493803980473</v>
      </c>
      <c r="X74" s="136">
        <f t="shared" si="42"/>
        <v>15.3</v>
      </c>
      <c r="Y74" s="136">
        <f t="shared" si="42"/>
        <v>13.434945504087194</v>
      </c>
      <c r="Z74" s="136">
        <f t="shared" si="42"/>
        <v>11.439293598233995</v>
      </c>
      <c r="AA74" s="136">
        <f t="shared" si="42"/>
        <v>9.9987871437234688</v>
      </c>
      <c r="AB74" s="137">
        <f t="shared" si="42"/>
        <v>8.7073888725345885</v>
      </c>
      <c r="AC74" s="275">
        <f t="shared" si="42"/>
        <v>7.4535581594741354</v>
      </c>
      <c r="AD74" s="136">
        <f t="shared" si="42"/>
        <v>6.307369010927431</v>
      </c>
      <c r="AE74" s="136">
        <f t="shared" si="42"/>
        <v>5.1843406593406591</v>
      </c>
      <c r="AF74" s="136">
        <f t="shared" si="42"/>
        <v>4.0336089623899705</v>
      </c>
      <c r="AG74" s="7"/>
    </row>
    <row r="75" spans="1:33" ht="12.75" outlineLevel="1">
      <c r="A75" s="178"/>
      <c r="B75" s="178"/>
      <c r="C75" s="178"/>
      <c r="D75" s="178"/>
      <c r="E75" s="178"/>
      <c r="F75" s="178"/>
      <c r="G75" s="178"/>
      <c r="H75" s="178"/>
      <c r="I75" s="865"/>
      <c r="J75" s="865"/>
      <c r="K75" s="205">
        <v>1</v>
      </c>
      <c r="L75" s="136">
        <f t="shared" ref="L75:AF75" si="43">L55/L35</f>
        <v>2.5324308755760367</v>
      </c>
      <c r="M75" s="136">
        <f t="shared" si="43"/>
        <v>2.0801901743264661</v>
      </c>
      <c r="N75" s="136">
        <f t="shared" si="43"/>
        <v>1.5043729149761067</v>
      </c>
      <c r="O75" s="136">
        <f t="shared" si="43"/>
        <v>3.3939143190280965</v>
      </c>
      <c r="P75" s="136">
        <f t="shared" si="43"/>
        <v>4.128608805485384</v>
      </c>
      <c r="Q75" s="136">
        <f t="shared" si="43"/>
        <v>8.2584061424410908</v>
      </c>
      <c r="R75" s="136">
        <f t="shared" si="43"/>
        <v>11.640268729641694</v>
      </c>
      <c r="S75" s="136">
        <f t="shared" si="43"/>
        <v>16.936185969965027</v>
      </c>
      <c r="T75" s="136">
        <f t="shared" si="43"/>
        <v>15.549360511590727</v>
      </c>
      <c r="U75" s="136">
        <f t="shared" si="43"/>
        <v>17.673485488870103</v>
      </c>
      <c r="V75" s="137">
        <f t="shared" si="43"/>
        <v>15.386271087841768</v>
      </c>
      <c r="W75" s="136">
        <f t="shared" si="43"/>
        <v>13.937311746987952</v>
      </c>
      <c r="X75" s="136">
        <f t="shared" si="43"/>
        <v>12.664636397194537</v>
      </c>
      <c r="Y75" s="136">
        <f t="shared" si="43"/>
        <v>11.417119073470865</v>
      </c>
      <c r="Z75" s="136">
        <f t="shared" si="43"/>
        <v>9.978075517661388</v>
      </c>
      <c r="AA75" s="136">
        <f t="shared" si="43"/>
        <v>8.5941107579053035</v>
      </c>
      <c r="AB75" s="137">
        <f t="shared" si="43"/>
        <v>7.4249630966048876</v>
      </c>
      <c r="AC75" s="275">
        <f t="shared" si="43"/>
        <v>6.2085987261146496</v>
      </c>
      <c r="AD75" s="136">
        <f t="shared" si="43"/>
        <v>5.0281385281385278</v>
      </c>
      <c r="AE75" s="136">
        <f t="shared" si="43"/>
        <v>3.9298165832954375</v>
      </c>
      <c r="AF75" s="136">
        <f t="shared" si="43"/>
        <v>2.8527270025263785</v>
      </c>
      <c r="AG75" s="7"/>
    </row>
    <row r="76" spans="1:33" ht="12.75" outlineLevel="1">
      <c r="A76" s="178"/>
      <c r="B76" s="178"/>
      <c r="C76" s="178"/>
      <c r="D76" s="178"/>
      <c r="E76" s="178"/>
      <c r="F76" s="178"/>
      <c r="G76" s="178"/>
      <c r="H76" s="178"/>
      <c r="I76" s="865"/>
      <c r="J76" s="865"/>
      <c r="K76" s="205">
        <v>2</v>
      </c>
      <c r="L76" s="136">
        <f t="shared" ref="L76:AF76" si="44">L56/L36</f>
        <v>1.3641406856762455</v>
      </c>
      <c r="M76" s="136">
        <f t="shared" si="44"/>
        <v>3.4973684210526317</v>
      </c>
      <c r="N76" s="136">
        <f t="shared" si="44"/>
        <v>3.2350990525409129</v>
      </c>
      <c r="O76" s="136">
        <f t="shared" si="44"/>
        <v>3.1058631921824102</v>
      </c>
      <c r="P76" s="136">
        <f t="shared" si="44"/>
        <v>4.0245026571979494</v>
      </c>
      <c r="Q76" s="136">
        <f t="shared" si="44"/>
        <v>12.501232539030402</v>
      </c>
      <c r="R76" s="136">
        <f t="shared" si="44"/>
        <v>14.052391187533583</v>
      </c>
      <c r="S76" s="136">
        <f t="shared" si="44"/>
        <v>18.155981351981353</v>
      </c>
      <c r="T76" s="136">
        <f t="shared" si="44"/>
        <v>13.333705108186482</v>
      </c>
      <c r="U76" s="136">
        <f t="shared" si="44"/>
        <v>14.563719234275297</v>
      </c>
      <c r="V76" s="137">
        <f t="shared" si="44"/>
        <v>14.431876606683804</v>
      </c>
      <c r="W76" s="136">
        <f t="shared" si="44"/>
        <v>12.74536551241693</v>
      </c>
      <c r="X76" s="136">
        <f t="shared" si="44"/>
        <v>11.138241172551632</v>
      </c>
      <c r="Y76" s="136">
        <f t="shared" si="44"/>
        <v>9.7089783281733748</v>
      </c>
      <c r="Z76" s="136">
        <f t="shared" si="44"/>
        <v>8.1594319669654549</v>
      </c>
      <c r="AA76" s="136">
        <f t="shared" si="44"/>
        <v>6.845729227193492</v>
      </c>
      <c r="AB76" s="137">
        <f t="shared" si="44"/>
        <v>5.6468265162200284</v>
      </c>
      <c r="AC76" s="275">
        <f t="shared" si="44"/>
        <v>4.5359513274336285</v>
      </c>
      <c r="AD76" s="136">
        <f t="shared" si="44"/>
        <v>3.4036155360658671</v>
      </c>
      <c r="AE76" s="136">
        <f t="shared" si="44"/>
        <v>2.3370185136439412</v>
      </c>
      <c r="AF76" s="136">
        <f t="shared" si="44"/>
        <v>1.2911827956989248</v>
      </c>
      <c r="AG76" s="7"/>
    </row>
    <row r="77" spans="1:33" ht="12.75" outlineLevel="1">
      <c r="A77" s="178"/>
      <c r="B77" s="178"/>
      <c r="C77" s="178"/>
      <c r="D77" s="178"/>
      <c r="E77" s="178"/>
      <c r="F77" s="178"/>
      <c r="G77" s="178"/>
      <c r="H77" s="178"/>
      <c r="I77" s="865"/>
      <c r="J77" s="866"/>
      <c r="K77" s="205" t="s">
        <v>131</v>
      </c>
      <c r="L77" s="136">
        <f t="shared" ref="L77:AF77" si="45">L57/L37</f>
        <v>1.9362186788154898</v>
      </c>
      <c r="M77" s="136">
        <f t="shared" si="45"/>
        <v>3.0849731663685152</v>
      </c>
      <c r="N77" s="136">
        <f t="shared" si="45"/>
        <v>2.8703774304231797</v>
      </c>
      <c r="O77" s="136">
        <f t="shared" si="45"/>
        <v>4.4257590924257588</v>
      </c>
      <c r="P77" s="136">
        <f t="shared" si="45"/>
        <v>5.6305457400863759</v>
      </c>
      <c r="Q77" s="136">
        <f t="shared" si="45"/>
        <v>11.118906942392909</v>
      </c>
      <c r="R77" s="136">
        <f t="shared" si="45"/>
        <v>13.20724191063174</v>
      </c>
      <c r="S77" s="136">
        <f t="shared" si="45"/>
        <v>14.362243797195253</v>
      </c>
      <c r="T77" s="136">
        <f t="shared" si="45"/>
        <v>11.40125173852573</v>
      </c>
      <c r="U77" s="136">
        <f t="shared" si="45"/>
        <v>12.585616438356164</v>
      </c>
      <c r="V77" s="137">
        <f t="shared" si="45"/>
        <v>12.334051724137931</v>
      </c>
      <c r="W77" s="136">
        <f t="shared" si="45"/>
        <v>11.090845070422535</v>
      </c>
      <c r="X77" s="136">
        <f t="shared" si="45"/>
        <v>9.876381215469614</v>
      </c>
      <c r="Y77" s="136">
        <f t="shared" si="45"/>
        <v>8.6824644549763033</v>
      </c>
      <c r="Z77" s="136">
        <f t="shared" si="45"/>
        <v>7.1890166028097067</v>
      </c>
      <c r="AA77" s="136">
        <f t="shared" si="45"/>
        <v>5.7211940298507464</v>
      </c>
      <c r="AB77" s="137">
        <f t="shared" si="45"/>
        <v>4.5521436848203942</v>
      </c>
      <c r="AC77" s="275">
        <f t="shared" si="45"/>
        <v>3.4214969048958919</v>
      </c>
      <c r="AD77" s="136">
        <f t="shared" si="45"/>
        <v>2.3205898416166031</v>
      </c>
      <c r="AE77" s="136">
        <f t="shared" si="45"/>
        <v>1.2758435993572577</v>
      </c>
      <c r="AF77" s="136">
        <f t="shared" si="45"/>
        <v>0.25039370078740159</v>
      </c>
      <c r="AG77" s="7"/>
    </row>
    <row r="78" spans="1:33" ht="12.75" outlineLevel="1">
      <c r="A78" s="178"/>
      <c r="B78" s="178"/>
      <c r="C78" s="178"/>
      <c r="D78" s="178"/>
      <c r="E78" s="178"/>
      <c r="F78" s="178"/>
      <c r="G78" s="178"/>
      <c r="H78" s="178"/>
      <c r="I78" s="865"/>
      <c r="J78" s="893" t="s">
        <v>132</v>
      </c>
      <c r="K78" s="210" t="s">
        <v>133</v>
      </c>
      <c r="L78" s="136">
        <f t="shared" ref="L78:AF78" si="46">L58/L38</f>
        <v>7.975903614457831</v>
      </c>
      <c r="M78" s="136">
        <f t="shared" si="46"/>
        <v>5.6413043478260869</v>
      </c>
      <c r="N78" s="136">
        <f t="shared" si="46"/>
        <v>5.1422924901185771</v>
      </c>
      <c r="O78" s="136">
        <f t="shared" si="46"/>
        <v>3.6780575539568345</v>
      </c>
      <c r="P78" s="136">
        <f t="shared" si="46"/>
        <v>1.7412868632707774</v>
      </c>
      <c r="Q78" s="136">
        <f t="shared" si="46"/>
        <v>2.6694915254237288</v>
      </c>
      <c r="R78" s="136">
        <f t="shared" si="46"/>
        <v>3.0042372881355934</v>
      </c>
      <c r="S78" s="136">
        <f t="shared" si="46"/>
        <v>2.015229885057471</v>
      </c>
      <c r="T78" s="136">
        <f t="shared" si="46"/>
        <v>1.1880733944954129</v>
      </c>
      <c r="U78" s="136">
        <f t="shared" si="46"/>
        <v>15.817346938775509</v>
      </c>
      <c r="V78" s="137">
        <f t="shared" si="46"/>
        <v>16.048387096774192</v>
      </c>
      <c r="W78" s="136">
        <f t="shared" si="46"/>
        <v>14.710526315789474</v>
      </c>
      <c r="X78" s="136">
        <f t="shared" si="46"/>
        <v>13.557291666666666</v>
      </c>
      <c r="Y78" s="136">
        <f t="shared" si="46"/>
        <v>12.417525773195877</v>
      </c>
      <c r="Z78" s="136">
        <f t="shared" si="46"/>
        <v>11.228426395939087</v>
      </c>
      <c r="AA78" s="136">
        <f t="shared" si="46"/>
        <v>10.00497512437811</v>
      </c>
      <c r="AB78" s="137">
        <f t="shared" si="46"/>
        <v>8.8097560975609763</v>
      </c>
      <c r="AC78" s="275">
        <f t="shared" si="46"/>
        <v>7.6411483253588512</v>
      </c>
      <c r="AD78" s="136">
        <f t="shared" si="46"/>
        <v>6.462616822429907</v>
      </c>
      <c r="AE78" s="136">
        <f t="shared" si="46"/>
        <v>5.3440366972477067</v>
      </c>
      <c r="AF78" s="136">
        <f t="shared" si="46"/>
        <v>4.2477477477477477</v>
      </c>
      <c r="AG78" s="7"/>
    </row>
    <row r="79" spans="1:33" ht="12.75" outlineLevel="1">
      <c r="A79" s="178"/>
      <c r="B79" s="178"/>
      <c r="C79" s="178"/>
      <c r="D79" s="178"/>
      <c r="E79" s="178"/>
      <c r="F79" s="178"/>
      <c r="G79" s="178"/>
      <c r="H79" s="178"/>
      <c r="I79" s="865"/>
      <c r="J79" s="866"/>
      <c r="K79" s="210" t="s">
        <v>134</v>
      </c>
      <c r="L79" s="136">
        <f t="shared" ref="L79:AF79" si="47">L59/L39</f>
        <v>3.1494252873563218</v>
      </c>
      <c r="M79" s="136">
        <f t="shared" si="47"/>
        <v>3.3492063492063493</v>
      </c>
      <c r="N79" s="136">
        <f t="shared" si="47"/>
        <v>10.868852459016393</v>
      </c>
      <c r="O79" s="136">
        <f t="shared" si="47"/>
        <v>10.549504950495049</v>
      </c>
      <c r="P79" s="136">
        <f t="shared" si="47"/>
        <v>8.8657407407407405</v>
      </c>
      <c r="Q79" s="136">
        <f t="shared" si="47"/>
        <v>7.2543103448275863</v>
      </c>
      <c r="R79" s="136">
        <f t="shared" si="47"/>
        <v>14.3</v>
      </c>
      <c r="S79" s="136">
        <f t="shared" si="47"/>
        <v>7.232312925170068</v>
      </c>
      <c r="T79" s="136">
        <f t="shared" si="47"/>
        <v>5.8168316831683171</v>
      </c>
      <c r="U79" s="136">
        <f t="shared" si="47"/>
        <v>4.4308868501529046</v>
      </c>
      <c r="V79" s="137">
        <f t="shared" si="47"/>
        <v>4.7192982456140351</v>
      </c>
      <c r="W79" s="136">
        <f t="shared" si="47"/>
        <v>3.5852272727272729</v>
      </c>
      <c r="X79" s="136">
        <f t="shared" si="47"/>
        <v>2.5055555555555555</v>
      </c>
      <c r="Y79" s="136">
        <f t="shared" si="47"/>
        <v>1.46448087431694</v>
      </c>
      <c r="Z79" s="136">
        <f t="shared" si="47"/>
        <v>0.43315508021390375</v>
      </c>
      <c r="AA79" s="136">
        <f t="shared" si="47"/>
        <v>4.7015706806282722</v>
      </c>
      <c r="AB79" s="276">
        <f t="shared" si="47"/>
        <v>3.6288659793814433</v>
      </c>
      <c r="AC79" s="277">
        <f t="shared" si="47"/>
        <v>2.5555555555555554</v>
      </c>
      <c r="AD79" s="136">
        <f t="shared" si="47"/>
        <v>1.4803921568627452</v>
      </c>
      <c r="AE79" s="136">
        <f t="shared" si="47"/>
        <v>0.46601941747572817</v>
      </c>
      <c r="AF79" s="136">
        <f t="shared" si="47"/>
        <v>-0.53846153846153844</v>
      </c>
      <c r="AG79" s="7"/>
    </row>
    <row r="80" spans="1:33" ht="12.75" outlineLevel="1">
      <c r="A80" s="178"/>
      <c r="B80" s="178"/>
      <c r="C80" s="178"/>
      <c r="D80" s="178"/>
      <c r="E80" s="178"/>
      <c r="F80" s="178"/>
      <c r="G80" s="178"/>
      <c r="H80" s="178"/>
      <c r="I80" s="865"/>
      <c r="J80" s="895" t="s">
        <v>135</v>
      </c>
      <c r="K80" s="217" t="s">
        <v>136</v>
      </c>
      <c r="L80" s="136"/>
      <c r="M80" s="136"/>
      <c r="N80" s="136"/>
      <c r="O80" s="136"/>
      <c r="P80" s="136">
        <f t="shared" ref="P80:AF80" si="48">P60/P40</f>
        <v>11.490671641791044</v>
      </c>
      <c r="Q80" s="136">
        <f t="shared" si="48"/>
        <v>22.541071428571428</v>
      </c>
      <c r="R80" s="136">
        <f t="shared" si="48"/>
        <v>39.458333333333336</v>
      </c>
      <c r="S80" s="136">
        <f t="shared" si="48"/>
        <v>34.160919540229884</v>
      </c>
      <c r="T80" s="136">
        <f t="shared" si="48"/>
        <v>26.950934579439252</v>
      </c>
      <c r="U80" s="136">
        <f t="shared" si="48"/>
        <v>13.58235294117647</v>
      </c>
      <c r="V80" s="137">
        <f t="shared" si="48"/>
        <v>14.292073832790445</v>
      </c>
      <c r="W80" s="136">
        <f t="shared" si="48"/>
        <v>13.153763440860216</v>
      </c>
      <c r="X80" s="136">
        <f t="shared" si="48"/>
        <v>10.621085594989562</v>
      </c>
      <c r="Y80" s="136">
        <f t="shared" si="48"/>
        <v>3.7311271975180973</v>
      </c>
      <c r="Z80" s="136">
        <f t="shared" si="48"/>
        <v>2.6929375639713409</v>
      </c>
      <c r="AA80" s="136">
        <f t="shared" si="48"/>
        <v>-0.3606889564336373</v>
      </c>
      <c r="AB80" s="278">
        <f t="shared" si="48"/>
        <v>2.0546176762661372</v>
      </c>
      <c r="AC80" s="279">
        <f t="shared" si="48"/>
        <v>1.01460564751704</v>
      </c>
      <c r="AD80" s="275">
        <f t="shared" si="48"/>
        <v>-0.95988538681948421</v>
      </c>
      <c r="AE80" s="136">
        <f t="shared" si="48"/>
        <v>-2.8773408239700373</v>
      </c>
      <c r="AF80" s="136">
        <f t="shared" si="48"/>
        <v>-4.736697247706422</v>
      </c>
      <c r="AG80" s="7"/>
    </row>
    <row r="81" spans="1:33" ht="12.75" outlineLevel="1">
      <c r="A81" s="178"/>
      <c r="B81" s="178"/>
      <c r="C81" s="178"/>
      <c r="D81" s="178"/>
      <c r="E81" s="178"/>
      <c r="F81" s="178"/>
      <c r="G81" s="178"/>
      <c r="H81" s="178"/>
      <c r="I81" s="865"/>
      <c r="J81" s="865"/>
      <c r="K81" s="217" t="s">
        <v>137</v>
      </c>
      <c r="L81" s="136"/>
      <c r="M81" s="136"/>
      <c r="N81" s="136"/>
      <c r="O81" s="136"/>
      <c r="P81" s="136">
        <f t="shared" ref="P81:AF81" si="49">P61/P41</f>
        <v>11.813461538461539</v>
      </c>
      <c r="Q81" s="136">
        <f t="shared" si="49"/>
        <v>27.411637931034484</v>
      </c>
      <c r="R81" s="136">
        <f t="shared" si="49"/>
        <v>47.178030303030305</v>
      </c>
      <c r="S81" s="136">
        <f t="shared" si="49"/>
        <v>33.873595505617978</v>
      </c>
      <c r="T81" s="136">
        <f t="shared" si="49"/>
        <v>25.302173913043479</v>
      </c>
      <c r="U81" s="136">
        <f t="shared" si="49"/>
        <v>13.695652173913043</v>
      </c>
      <c r="V81" s="137">
        <f t="shared" si="49"/>
        <v>12.49665071770335</v>
      </c>
      <c r="W81" s="136">
        <f t="shared" si="49"/>
        <v>11.136617100371748</v>
      </c>
      <c r="X81" s="136">
        <f t="shared" si="49"/>
        <v>9.2734657039711195</v>
      </c>
      <c r="Y81" s="136">
        <f t="shared" si="49"/>
        <v>8.0848806366047743</v>
      </c>
      <c r="Z81" s="136">
        <f t="shared" si="49"/>
        <v>2.7162872154115587</v>
      </c>
      <c r="AA81" s="136">
        <f t="shared" si="49"/>
        <v>-4.4232437120555072E-2</v>
      </c>
      <c r="AB81" s="136">
        <f t="shared" si="49"/>
        <v>1.845959595959596</v>
      </c>
      <c r="AC81" s="137">
        <f t="shared" si="49"/>
        <v>0.80940594059405946</v>
      </c>
      <c r="AD81" s="275">
        <f t="shared" si="49"/>
        <v>-0.2872168284789644</v>
      </c>
      <c r="AE81" s="136">
        <f t="shared" si="49"/>
        <v>-1.3608247422680413</v>
      </c>
      <c r="AF81" s="136">
        <f t="shared" si="49"/>
        <v>-2.4121306376360807</v>
      </c>
      <c r="AG81" s="7"/>
    </row>
    <row r="82" spans="1:33" ht="12.75" outlineLevel="1">
      <c r="A82" s="178"/>
      <c r="B82" s="178"/>
      <c r="C82" s="178"/>
      <c r="D82" s="178"/>
      <c r="E82" s="178"/>
      <c r="F82" s="178"/>
      <c r="G82" s="178"/>
      <c r="H82" s="178"/>
      <c r="I82" s="865"/>
      <c r="J82" s="865"/>
      <c r="K82" s="217" t="s">
        <v>138</v>
      </c>
      <c r="L82" s="136"/>
      <c r="M82" s="136"/>
      <c r="N82" s="136"/>
      <c r="O82" s="136"/>
      <c r="P82" s="136">
        <f t="shared" ref="P82:AF82" si="50">P62/P42</f>
        <v>7.6568877551020407</v>
      </c>
      <c r="Q82" s="136">
        <f t="shared" si="50"/>
        <v>11.752118644067796</v>
      </c>
      <c r="R82" s="136">
        <f t="shared" si="50"/>
        <v>15.911585365853659</v>
      </c>
      <c r="S82" s="136">
        <f t="shared" si="50"/>
        <v>17.260563380281692</v>
      </c>
      <c r="T82" s="136">
        <f t="shared" si="50"/>
        <v>16.880434782608695</v>
      </c>
      <c r="U82" s="136">
        <f t="shared" si="50"/>
        <v>6.167272727272727</v>
      </c>
      <c r="V82" s="137">
        <f t="shared" si="50"/>
        <v>6.4223463687150835</v>
      </c>
      <c r="W82" s="136">
        <f t="shared" si="50"/>
        <v>5.2957283680175244</v>
      </c>
      <c r="X82" s="136">
        <f t="shared" si="50"/>
        <v>3.5488721804511276</v>
      </c>
      <c r="Y82" s="136">
        <f t="shared" si="50"/>
        <v>2.4778947368421052</v>
      </c>
      <c r="Z82" s="136">
        <f t="shared" si="50"/>
        <v>1.4520833333333334</v>
      </c>
      <c r="AA82" s="136">
        <f t="shared" si="50"/>
        <v>0.43859649122807015</v>
      </c>
      <c r="AB82" s="136">
        <f t="shared" si="50"/>
        <v>5.8026052104208414</v>
      </c>
      <c r="AC82" s="137">
        <f t="shared" si="50"/>
        <v>4.6886051080550102</v>
      </c>
      <c r="AD82" s="275">
        <f t="shared" si="50"/>
        <v>1.476419634263715</v>
      </c>
      <c r="AE82" s="136">
        <f t="shared" si="50"/>
        <v>-1.6288951841359773</v>
      </c>
      <c r="AF82" s="136">
        <f t="shared" si="50"/>
        <v>-4.6308973172987971</v>
      </c>
      <c r="AG82" s="7"/>
    </row>
    <row r="83" spans="1:33" ht="12.75" outlineLevel="1">
      <c r="A83" s="178"/>
      <c r="B83" s="178"/>
      <c r="C83" s="178"/>
      <c r="D83" s="178"/>
      <c r="E83" s="178"/>
      <c r="F83" s="178"/>
      <c r="G83" s="178"/>
      <c r="H83" s="178"/>
      <c r="I83" s="866"/>
      <c r="J83" s="866"/>
      <c r="K83" s="217" t="s">
        <v>139</v>
      </c>
      <c r="L83" s="136"/>
      <c r="M83" s="136"/>
      <c r="N83" s="136"/>
      <c r="O83" s="136"/>
      <c r="P83" s="136">
        <f t="shared" ref="P83:AF83" si="51">P63/P43</f>
        <v>5.4198473282442752</v>
      </c>
      <c r="Q83" s="136">
        <f t="shared" si="51"/>
        <v>14.148936170212766</v>
      </c>
      <c r="R83" s="136">
        <f t="shared" si="51"/>
        <v>12.854166666666666</v>
      </c>
      <c r="S83" s="136">
        <f t="shared" si="51"/>
        <v>22.231132075471699</v>
      </c>
      <c r="T83" s="136">
        <f t="shared" si="51"/>
        <v>13.580246913580247</v>
      </c>
      <c r="U83" s="136">
        <f t="shared" si="51"/>
        <v>5.860215053763441</v>
      </c>
      <c r="V83" s="137">
        <f t="shared" si="51"/>
        <v>7.6273291925465836</v>
      </c>
      <c r="W83" s="136">
        <f t="shared" si="51"/>
        <v>4.50063371356147</v>
      </c>
      <c r="X83" s="136">
        <f t="shared" si="51"/>
        <v>3.4554579673776664</v>
      </c>
      <c r="Y83" s="136">
        <f t="shared" si="51"/>
        <v>2.4211180124223604</v>
      </c>
      <c r="Z83" s="136">
        <f t="shared" si="51"/>
        <v>0.16728167281672818</v>
      </c>
      <c r="AA83" s="136">
        <f t="shared" si="51"/>
        <v>-0.83434835566382459</v>
      </c>
      <c r="AB83" s="136">
        <f t="shared" si="51"/>
        <v>6.3823178016726407</v>
      </c>
      <c r="AC83" s="276">
        <f t="shared" si="51"/>
        <v>1.7423887587822013</v>
      </c>
      <c r="AD83" s="275">
        <f t="shared" si="51"/>
        <v>0.70838117106773824</v>
      </c>
      <c r="AE83" s="136">
        <f t="shared" si="51"/>
        <v>-0.30596175478065241</v>
      </c>
      <c r="AF83" s="136">
        <f t="shared" si="51"/>
        <v>-1.3002207505518764</v>
      </c>
      <c r="AG83" s="7"/>
    </row>
    <row r="84" spans="1:33" ht="12.75" outlineLevel="1">
      <c r="A84" s="178"/>
      <c r="B84" s="178"/>
      <c r="C84" s="178"/>
      <c r="D84" s="178"/>
      <c r="E84" s="178"/>
      <c r="F84" s="178"/>
      <c r="G84" s="178"/>
      <c r="H84" s="178"/>
      <c r="I84" s="268"/>
      <c r="J84" s="896" t="s">
        <v>38</v>
      </c>
      <c r="K84" s="860"/>
      <c r="L84" s="280">
        <f t="shared" ref="L84:AF84" si="52">AVERAGE(L68:L83)</f>
        <v>3.3656159303896982</v>
      </c>
      <c r="M84" s="280">
        <f t="shared" si="52"/>
        <v>3.5745843940098694</v>
      </c>
      <c r="N84" s="280">
        <f t="shared" si="52"/>
        <v>4.0583624894330361</v>
      </c>
      <c r="O84" s="280">
        <f t="shared" si="52"/>
        <v>3.8659290569695308</v>
      </c>
      <c r="P84" s="280">
        <f t="shared" si="52"/>
        <v>5.6082093537534616</v>
      </c>
      <c r="Q84" s="280">
        <f t="shared" si="52"/>
        <v>10.557810309277063</v>
      </c>
      <c r="R84" s="280">
        <f t="shared" si="52"/>
        <v>14.348813726669709</v>
      </c>
      <c r="S84" s="280">
        <f t="shared" si="52"/>
        <v>14.593434516066614</v>
      </c>
      <c r="T84" s="280">
        <f t="shared" si="52"/>
        <v>18.275811584774154</v>
      </c>
      <c r="U84" s="280">
        <f t="shared" si="52"/>
        <v>15.620208023836186</v>
      </c>
      <c r="V84" s="281">
        <f t="shared" si="52"/>
        <v>15.167949669447237</v>
      </c>
      <c r="W84" s="280">
        <f t="shared" si="52"/>
        <v>13.415130988381996</v>
      </c>
      <c r="X84" s="280">
        <f t="shared" si="52"/>
        <v>11.378828804860291</v>
      </c>
      <c r="Y84" s="280">
        <f t="shared" si="52"/>
        <v>10.03599707940208</v>
      </c>
      <c r="Z84" s="280">
        <f t="shared" si="52"/>
        <v>7.9970818417644294</v>
      </c>
      <c r="AA84" s="280">
        <f t="shared" si="52"/>
        <v>6.6975476232983455</v>
      </c>
      <c r="AB84" s="280">
        <f t="shared" si="52"/>
        <v>6.6426131245117057</v>
      </c>
      <c r="AC84" s="282">
        <f t="shared" si="52"/>
        <v>5.2833773572822205</v>
      </c>
      <c r="AD84" s="280">
        <f t="shared" si="52"/>
        <v>3.7778316289175504</v>
      </c>
      <c r="AE84" s="280">
        <f t="shared" si="52"/>
        <v>1.5302436309885272</v>
      </c>
      <c r="AF84" s="280">
        <f t="shared" si="52"/>
        <v>6.1468829539552503E-2</v>
      </c>
      <c r="AG84" s="7"/>
    </row>
    <row r="85" spans="1:33" ht="12.75">
      <c r="A85" s="178"/>
      <c r="B85" s="178"/>
      <c r="C85" s="178"/>
      <c r="D85" s="178"/>
      <c r="E85" s="178"/>
      <c r="F85" s="178"/>
      <c r="G85" s="178"/>
      <c r="H85" s="178"/>
      <c r="AG85" s="7"/>
    </row>
    <row r="86" spans="1:33" ht="12.75">
      <c r="A86" s="178"/>
      <c r="B86" s="178"/>
      <c r="C86" s="178"/>
      <c r="D86" s="178"/>
      <c r="E86" s="178"/>
      <c r="F86" s="178"/>
      <c r="G86" s="178"/>
      <c r="H86" s="178"/>
      <c r="AG86" s="7"/>
    </row>
    <row r="87" spans="1:33" ht="12.75">
      <c r="A87" s="178"/>
      <c r="B87" s="178"/>
      <c r="C87" s="178"/>
      <c r="D87" s="178"/>
      <c r="E87" s="178"/>
      <c r="F87" s="178"/>
      <c r="G87" s="178"/>
      <c r="H87" s="178"/>
    </row>
    <row r="88" spans="1:33" ht="12.75">
      <c r="A88" s="178"/>
      <c r="B88" s="178"/>
      <c r="C88" s="178"/>
      <c r="D88" s="178"/>
      <c r="E88" s="178"/>
      <c r="F88" s="178"/>
      <c r="G88" s="178"/>
      <c r="H88" s="178"/>
    </row>
    <row r="89" spans="1:33" ht="12.75">
      <c r="A89" s="178"/>
      <c r="B89" s="178"/>
      <c r="C89" s="178"/>
      <c r="D89" s="178"/>
      <c r="E89" s="178"/>
      <c r="F89" s="178"/>
      <c r="G89" s="178"/>
      <c r="H89" s="178"/>
    </row>
    <row r="90" spans="1:33" ht="12.75">
      <c r="A90" s="178"/>
      <c r="B90" s="178"/>
      <c r="C90" s="178"/>
      <c r="D90" s="178"/>
      <c r="E90" s="178"/>
      <c r="F90" s="178"/>
      <c r="G90" s="178"/>
      <c r="H90" s="178"/>
    </row>
    <row r="91" spans="1:33" ht="12.75">
      <c r="A91" s="178"/>
      <c r="B91" s="178"/>
      <c r="C91" s="178"/>
      <c r="D91" s="178"/>
      <c r="E91" s="178"/>
      <c r="F91" s="178"/>
      <c r="G91" s="178"/>
      <c r="H91" s="178"/>
    </row>
    <row r="92" spans="1:33" ht="12.75">
      <c r="A92" s="178"/>
      <c r="B92" s="178"/>
      <c r="C92" s="178"/>
      <c r="D92" s="178"/>
      <c r="E92" s="178"/>
      <c r="F92" s="178"/>
      <c r="G92" s="178"/>
      <c r="H92" s="178"/>
    </row>
    <row r="93" spans="1:33" ht="12.75">
      <c r="A93" s="178"/>
      <c r="B93" s="178"/>
      <c r="C93" s="178"/>
      <c r="D93" s="178"/>
      <c r="E93" s="178"/>
      <c r="F93" s="178"/>
      <c r="G93" s="178"/>
      <c r="H93" s="178"/>
    </row>
    <row r="94" spans="1:33" ht="12.75">
      <c r="A94" s="178"/>
      <c r="B94" s="178"/>
      <c r="C94" s="178"/>
      <c r="D94" s="178"/>
      <c r="E94" s="178"/>
      <c r="F94" s="178"/>
      <c r="G94" s="178"/>
      <c r="H94" s="178"/>
    </row>
    <row r="95" spans="1:33" ht="12.75">
      <c r="A95" s="178"/>
      <c r="B95" s="178"/>
      <c r="C95" s="178"/>
      <c r="D95" s="178"/>
      <c r="E95" s="178"/>
      <c r="F95" s="178"/>
      <c r="G95" s="178"/>
      <c r="H95" s="178"/>
    </row>
    <row r="96" spans="1:33" ht="12.75">
      <c r="A96" s="178"/>
      <c r="B96" s="178"/>
      <c r="C96" s="178"/>
      <c r="D96" s="178"/>
      <c r="E96" s="178"/>
      <c r="F96" s="178"/>
      <c r="G96" s="178"/>
      <c r="H96" s="178"/>
    </row>
    <row r="97" spans="1:8" ht="12.75">
      <c r="A97" s="178"/>
      <c r="B97" s="178"/>
      <c r="C97" s="178"/>
      <c r="D97" s="178"/>
      <c r="E97" s="178"/>
      <c r="F97" s="178"/>
      <c r="G97" s="178"/>
      <c r="H97" s="178"/>
    </row>
    <row r="98" spans="1:8" ht="12.75">
      <c r="A98" s="178"/>
      <c r="B98" s="178"/>
      <c r="C98" s="178"/>
      <c r="D98" s="178"/>
      <c r="E98" s="178"/>
      <c r="F98" s="178"/>
      <c r="G98" s="178"/>
      <c r="H98" s="178"/>
    </row>
    <row r="99" spans="1:8" ht="12.75">
      <c r="A99" s="178"/>
      <c r="B99" s="178"/>
      <c r="C99" s="178"/>
      <c r="D99" s="178"/>
      <c r="E99" s="178"/>
      <c r="F99" s="178"/>
      <c r="G99" s="178"/>
      <c r="H99" s="178"/>
    </row>
    <row r="100" spans="1:8" ht="12.75">
      <c r="A100" s="178"/>
      <c r="B100" s="178"/>
      <c r="C100" s="178"/>
      <c r="D100" s="178"/>
      <c r="E100" s="178"/>
      <c r="F100" s="178"/>
      <c r="G100" s="178"/>
      <c r="H100" s="178"/>
    </row>
    <row r="101" spans="1:8" ht="12.75">
      <c r="A101" s="178"/>
      <c r="B101" s="178"/>
      <c r="C101" s="178"/>
      <c r="D101" s="178"/>
      <c r="E101" s="178"/>
      <c r="F101" s="178"/>
      <c r="G101" s="178"/>
      <c r="H101" s="178"/>
    </row>
    <row r="102" spans="1:8" ht="12.75">
      <c r="A102" s="178"/>
      <c r="B102" s="178"/>
      <c r="C102" s="178"/>
      <c r="D102" s="178"/>
      <c r="E102" s="178"/>
      <c r="F102" s="178"/>
      <c r="G102" s="178"/>
      <c r="H102" s="178"/>
    </row>
    <row r="103" spans="1:8" ht="12.75">
      <c r="A103" s="178"/>
      <c r="B103" s="178"/>
      <c r="C103" s="178"/>
      <c r="D103" s="178"/>
      <c r="E103" s="178"/>
      <c r="F103" s="178"/>
      <c r="G103" s="178"/>
      <c r="H103" s="178"/>
    </row>
    <row r="104" spans="1:8" ht="12.75">
      <c r="A104" s="178"/>
      <c r="B104" s="178"/>
      <c r="C104" s="178"/>
      <c r="D104" s="178"/>
      <c r="E104" s="178"/>
      <c r="F104" s="178"/>
      <c r="G104" s="178"/>
      <c r="H104" s="178"/>
    </row>
    <row r="105" spans="1:8" ht="12.75">
      <c r="A105" s="178"/>
      <c r="B105" s="178"/>
      <c r="C105" s="178"/>
      <c r="D105" s="178"/>
      <c r="E105" s="178"/>
      <c r="F105" s="178"/>
      <c r="G105" s="178"/>
      <c r="H105" s="178"/>
    </row>
    <row r="106" spans="1:8" ht="12.75">
      <c r="A106" s="178"/>
      <c r="B106" s="178"/>
      <c r="C106" s="178"/>
      <c r="D106" s="178"/>
      <c r="E106" s="178"/>
      <c r="F106" s="178"/>
      <c r="G106" s="178"/>
      <c r="H106" s="178"/>
    </row>
    <row r="107" spans="1:8" ht="12.75">
      <c r="A107" s="178"/>
      <c r="B107" s="178"/>
      <c r="C107" s="178"/>
      <c r="D107" s="178"/>
      <c r="E107" s="178"/>
      <c r="F107" s="178"/>
      <c r="G107" s="178"/>
      <c r="H107" s="178"/>
    </row>
    <row r="108" spans="1:8" ht="12.75">
      <c r="A108" s="178"/>
      <c r="B108" s="178"/>
      <c r="C108" s="178"/>
      <c r="D108" s="178"/>
      <c r="E108" s="178"/>
      <c r="F108" s="178"/>
      <c r="G108" s="178"/>
      <c r="H108" s="178"/>
    </row>
    <row r="109" spans="1:8" ht="12.75">
      <c r="A109" s="178"/>
      <c r="B109" s="178"/>
      <c r="C109" s="178"/>
      <c r="D109" s="178"/>
      <c r="E109" s="178"/>
      <c r="F109" s="178"/>
      <c r="G109" s="178"/>
      <c r="H109" s="178"/>
    </row>
    <row r="110" spans="1:8" ht="12.75">
      <c r="A110" s="178"/>
      <c r="B110" s="178"/>
      <c r="C110" s="178"/>
      <c r="D110" s="178"/>
      <c r="E110" s="178"/>
      <c r="F110" s="178"/>
      <c r="G110" s="178"/>
      <c r="H110" s="178"/>
    </row>
    <row r="111" spans="1:8" ht="12.75">
      <c r="A111" s="178"/>
      <c r="B111" s="178"/>
      <c r="C111" s="178"/>
      <c r="D111" s="178"/>
      <c r="E111" s="178"/>
      <c r="F111" s="178"/>
      <c r="G111" s="178"/>
      <c r="H111" s="178"/>
    </row>
    <row r="112" spans="1:8" ht="12.75">
      <c r="A112" s="178"/>
      <c r="B112" s="178"/>
      <c r="C112" s="178"/>
      <c r="D112" s="178"/>
      <c r="E112" s="178"/>
      <c r="F112" s="178"/>
      <c r="G112" s="178"/>
      <c r="H112" s="178"/>
    </row>
    <row r="113" spans="1:8" ht="12.75">
      <c r="A113" s="178"/>
      <c r="B113" s="178"/>
      <c r="C113" s="178"/>
      <c r="D113" s="178"/>
      <c r="E113" s="178"/>
      <c r="F113" s="178"/>
      <c r="G113" s="178"/>
      <c r="H113" s="178"/>
    </row>
    <row r="114" spans="1:8" ht="12.75">
      <c r="A114" s="178"/>
      <c r="B114" s="178"/>
      <c r="C114" s="178"/>
      <c r="D114" s="178"/>
      <c r="E114" s="178"/>
      <c r="F114" s="178"/>
      <c r="G114" s="178"/>
      <c r="H114" s="178"/>
    </row>
    <row r="115" spans="1:8" ht="12.75">
      <c r="A115" s="178"/>
      <c r="B115" s="178"/>
      <c r="C115" s="178"/>
      <c r="D115" s="178"/>
      <c r="E115" s="178"/>
      <c r="F115" s="178"/>
      <c r="G115" s="178"/>
      <c r="H115" s="178"/>
    </row>
    <row r="116" spans="1:8" ht="12.75">
      <c r="A116" s="178"/>
      <c r="B116" s="178"/>
      <c r="C116" s="178"/>
      <c r="D116" s="178"/>
      <c r="E116" s="178"/>
      <c r="F116" s="178"/>
      <c r="G116" s="178"/>
      <c r="H116" s="178"/>
    </row>
    <row r="117" spans="1:8" ht="12.75">
      <c r="A117" s="178"/>
      <c r="B117" s="178"/>
      <c r="C117" s="178"/>
      <c r="D117" s="178"/>
      <c r="E117" s="178"/>
      <c r="F117" s="178"/>
      <c r="G117" s="178"/>
      <c r="H117" s="178"/>
    </row>
    <row r="118" spans="1:8" ht="12.75">
      <c r="A118" s="178"/>
      <c r="B118" s="178"/>
      <c r="C118" s="178"/>
      <c r="D118" s="178"/>
      <c r="E118" s="178"/>
      <c r="F118" s="178"/>
      <c r="G118" s="178"/>
      <c r="H118" s="178"/>
    </row>
    <row r="119" spans="1:8" ht="12.75">
      <c r="A119" s="178"/>
      <c r="B119" s="178"/>
      <c r="C119" s="178"/>
      <c r="D119" s="178"/>
      <c r="E119" s="178"/>
      <c r="F119" s="178"/>
      <c r="G119" s="178"/>
      <c r="H119" s="178"/>
    </row>
    <row r="120" spans="1:8" ht="12.75">
      <c r="A120" s="178"/>
      <c r="B120" s="178"/>
      <c r="C120" s="178"/>
      <c r="D120" s="178"/>
      <c r="E120" s="178"/>
      <c r="F120" s="178"/>
      <c r="G120" s="178"/>
      <c r="H120" s="178"/>
    </row>
    <row r="121" spans="1:8" ht="12.75">
      <c r="A121" s="178"/>
      <c r="B121" s="178"/>
      <c r="C121" s="178"/>
      <c r="D121" s="178"/>
      <c r="E121" s="178"/>
      <c r="F121" s="178"/>
      <c r="G121" s="178"/>
      <c r="H121" s="178"/>
    </row>
    <row r="122" spans="1:8" ht="12.75">
      <c r="A122" s="178"/>
      <c r="B122" s="178"/>
      <c r="C122" s="178"/>
      <c r="D122" s="178"/>
      <c r="E122" s="178"/>
      <c r="F122" s="178"/>
      <c r="G122" s="178"/>
      <c r="H122" s="178"/>
    </row>
    <row r="123" spans="1:8" ht="12.75">
      <c r="A123" s="178"/>
      <c r="B123" s="178"/>
      <c r="C123" s="178"/>
      <c r="D123" s="178"/>
      <c r="E123" s="178"/>
      <c r="F123" s="178"/>
      <c r="G123" s="178"/>
      <c r="H123" s="178"/>
    </row>
    <row r="124" spans="1:8" ht="12.75">
      <c r="A124" s="178"/>
      <c r="B124" s="178"/>
      <c r="C124" s="178"/>
      <c r="D124" s="178"/>
      <c r="E124" s="178"/>
      <c r="F124" s="178"/>
      <c r="G124" s="178"/>
      <c r="H124" s="178"/>
    </row>
    <row r="125" spans="1:8" ht="12.75">
      <c r="A125" s="178"/>
      <c r="B125" s="178"/>
      <c r="C125" s="178"/>
      <c r="D125" s="178"/>
      <c r="E125" s="178"/>
      <c r="F125" s="178"/>
      <c r="G125" s="178"/>
      <c r="H125" s="178"/>
    </row>
    <row r="126" spans="1:8" ht="12.75">
      <c r="A126" s="178"/>
      <c r="B126" s="178"/>
      <c r="C126" s="178"/>
      <c r="D126" s="178"/>
      <c r="E126" s="178"/>
      <c r="F126" s="178"/>
      <c r="G126" s="178"/>
      <c r="H126" s="178"/>
    </row>
    <row r="127" spans="1:8" ht="12.75">
      <c r="A127" s="178"/>
      <c r="B127" s="178"/>
      <c r="C127" s="178"/>
      <c r="D127" s="178"/>
      <c r="E127" s="178"/>
      <c r="F127" s="178"/>
      <c r="G127" s="178"/>
      <c r="H127" s="178"/>
    </row>
    <row r="128" spans="1:8" ht="12.75">
      <c r="A128" s="178"/>
      <c r="B128" s="178"/>
      <c r="C128" s="178"/>
      <c r="D128" s="178"/>
      <c r="E128" s="178"/>
      <c r="F128" s="178"/>
      <c r="G128" s="178"/>
      <c r="H128" s="178"/>
    </row>
    <row r="129" spans="1:8" ht="12.75">
      <c r="A129" s="178"/>
      <c r="B129" s="178"/>
      <c r="C129" s="178"/>
      <c r="D129" s="178"/>
      <c r="E129" s="178"/>
      <c r="F129" s="178"/>
      <c r="G129" s="178"/>
      <c r="H129" s="178"/>
    </row>
    <row r="130" spans="1:8" ht="12.75">
      <c r="A130" s="178"/>
      <c r="B130" s="178"/>
      <c r="C130" s="178"/>
      <c r="D130" s="178"/>
      <c r="E130" s="178"/>
      <c r="F130" s="178"/>
      <c r="G130" s="178"/>
      <c r="H130" s="178"/>
    </row>
    <row r="131" spans="1:8" ht="12.75">
      <c r="A131" s="178"/>
      <c r="B131" s="178"/>
      <c r="C131" s="178"/>
      <c r="D131" s="178"/>
      <c r="E131" s="178"/>
      <c r="F131" s="178"/>
      <c r="G131" s="178"/>
      <c r="H131" s="178"/>
    </row>
    <row r="132" spans="1:8" ht="12.75">
      <c r="A132" s="178"/>
      <c r="B132" s="178"/>
      <c r="C132" s="178"/>
      <c r="D132" s="178"/>
      <c r="E132" s="178"/>
      <c r="F132" s="178"/>
      <c r="G132" s="178"/>
      <c r="H132" s="178"/>
    </row>
    <row r="133" spans="1:8" ht="12.75">
      <c r="A133" s="178"/>
      <c r="B133" s="178"/>
      <c r="C133" s="178"/>
      <c r="D133" s="178"/>
      <c r="E133" s="178"/>
      <c r="F133" s="178"/>
      <c r="G133" s="178"/>
      <c r="H133" s="178"/>
    </row>
    <row r="134" spans="1:8" ht="12.75">
      <c r="A134" s="178"/>
      <c r="B134" s="178"/>
      <c r="C134" s="178"/>
      <c r="D134" s="178"/>
      <c r="E134" s="178"/>
      <c r="F134" s="178"/>
      <c r="G134" s="178"/>
      <c r="H134" s="178"/>
    </row>
    <row r="135" spans="1:8" ht="12.75">
      <c r="A135" s="178"/>
      <c r="B135" s="178"/>
      <c r="C135" s="178"/>
      <c r="D135" s="178"/>
      <c r="E135" s="178"/>
      <c r="F135" s="178"/>
      <c r="G135" s="178"/>
      <c r="H135" s="178"/>
    </row>
    <row r="136" spans="1:8" ht="12.75">
      <c r="A136" s="178"/>
      <c r="B136" s="178"/>
      <c r="C136" s="178"/>
      <c r="D136" s="178"/>
      <c r="E136" s="178"/>
      <c r="F136" s="178"/>
      <c r="G136" s="178"/>
      <c r="H136" s="178"/>
    </row>
    <row r="137" spans="1:8" ht="12.75">
      <c r="A137" s="178"/>
      <c r="B137" s="178"/>
      <c r="C137" s="178"/>
      <c r="D137" s="178"/>
      <c r="E137" s="178"/>
      <c r="F137" s="178"/>
      <c r="G137" s="178"/>
      <c r="H137" s="178"/>
    </row>
    <row r="138" spans="1:8" ht="12.75">
      <c r="A138" s="178"/>
      <c r="B138" s="178"/>
      <c r="C138" s="178"/>
      <c r="D138" s="178"/>
      <c r="E138" s="178"/>
      <c r="F138" s="178"/>
      <c r="G138" s="178"/>
      <c r="H138" s="178"/>
    </row>
    <row r="139" spans="1:8" ht="12.75">
      <c r="A139" s="178"/>
      <c r="B139" s="178"/>
      <c r="C139" s="178"/>
      <c r="D139" s="178"/>
      <c r="E139" s="178"/>
      <c r="F139" s="178"/>
      <c r="G139" s="178"/>
      <c r="H139" s="178"/>
    </row>
    <row r="140" spans="1:8" ht="12.75">
      <c r="A140" s="178"/>
      <c r="B140" s="178"/>
      <c r="C140" s="178"/>
      <c r="D140" s="178"/>
      <c r="E140" s="178"/>
      <c r="F140" s="178"/>
      <c r="G140" s="178"/>
      <c r="H140" s="178"/>
    </row>
    <row r="141" spans="1:8" ht="12.75">
      <c r="A141" s="178"/>
      <c r="B141" s="178"/>
      <c r="C141" s="178"/>
      <c r="D141" s="178"/>
      <c r="E141" s="178"/>
      <c r="F141" s="178"/>
      <c r="G141" s="178"/>
      <c r="H141" s="178"/>
    </row>
    <row r="142" spans="1:8" ht="12.75">
      <c r="A142" s="178"/>
      <c r="B142" s="178"/>
      <c r="C142" s="178"/>
      <c r="D142" s="178"/>
      <c r="E142" s="178"/>
      <c r="F142" s="178"/>
      <c r="G142" s="178"/>
      <c r="H142" s="178"/>
    </row>
    <row r="143" spans="1:8" ht="12.75">
      <c r="A143" s="178"/>
      <c r="B143" s="178"/>
      <c r="C143" s="178"/>
      <c r="D143" s="178"/>
      <c r="E143" s="178"/>
      <c r="F143" s="178"/>
      <c r="G143" s="178"/>
      <c r="H143" s="178"/>
    </row>
    <row r="144" spans="1:8" ht="12.75">
      <c r="A144" s="178"/>
      <c r="B144" s="178"/>
      <c r="C144" s="178"/>
      <c r="D144" s="178"/>
      <c r="E144" s="178"/>
      <c r="F144" s="178"/>
      <c r="G144" s="178"/>
      <c r="H144" s="178"/>
    </row>
    <row r="145" spans="1:8" ht="12.75">
      <c r="A145" s="178"/>
      <c r="B145" s="178"/>
      <c r="C145" s="178"/>
      <c r="D145" s="178"/>
      <c r="E145" s="178"/>
      <c r="F145" s="178"/>
      <c r="G145" s="178"/>
      <c r="H145" s="178"/>
    </row>
    <row r="146" spans="1:8" ht="12.75">
      <c r="A146" s="178"/>
      <c r="B146" s="178"/>
      <c r="C146" s="178"/>
      <c r="D146" s="178"/>
      <c r="E146" s="178"/>
      <c r="F146" s="178"/>
      <c r="G146" s="178"/>
      <c r="H146" s="178"/>
    </row>
    <row r="147" spans="1:8" ht="12.75">
      <c r="A147" s="178"/>
      <c r="B147" s="178"/>
      <c r="C147" s="178"/>
      <c r="D147" s="178"/>
      <c r="E147" s="178"/>
      <c r="F147" s="178"/>
      <c r="G147" s="178"/>
      <c r="H147" s="178"/>
    </row>
    <row r="148" spans="1:8" ht="12.75">
      <c r="A148" s="178"/>
      <c r="B148" s="178"/>
      <c r="C148" s="178"/>
      <c r="D148" s="178"/>
      <c r="E148" s="178"/>
      <c r="F148" s="178"/>
      <c r="G148" s="178"/>
      <c r="H148" s="178"/>
    </row>
    <row r="149" spans="1:8" ht="12.75">
      <c r="A149" s="178"/>
      <c r="B149" s="178"/>
      <c r="C149" s="178"/>
      <c r="D149" s="178"/>
      <c r="E149" s="178"/>
      <c r="F149" s="178"/>
      <c r="G149" s="178"/>
      <c r="H149" s="178"/>
    </row>
    <row r="150" spans="1:8" ht="12.75">
      <c r="A150" s="178"/>
      <c r="B150" s="178"/>
      <c r="C150" s="178"/>
      <c r="D150" s="178"/>
      <c r="E150" s="178"/>
      <c r="F150" s="178"/>
      <c r="G150" s="178"/>
      <c r="H150" s="178"/>
    </row>
    <row r="151" spans="1:8" ht="12.75">
      <c r="A151" s="178"/>
      <c r="B151" s="178"/>
      <c r="C151" s="178"/>
      <c r="D151" s="178"/>
      <c r="E151" s="178"/>
      <c r="F151" s="178"/>
      <c r="G151" s="178"/>
      <c r="H151" s="178"/>
    </row>
    <row r="152" spans="1:8" ht="12.75">
      <c r="A152" s="178"/>
      <c r="B152" s="178"/>
      <c r="C152" s="178"/>
      <c r="D152" s="178"/>
      <c r="E152" s="178"/>
      <c r="F152" s="178"/>
      <c r="G152" s="178"/>
      <c r="H152" s="178"/>
    </row>
    <row r="153" spans="1:8" ht="12.75">
      <c r="A153" s="178"/>
      <c r="B153" s="178"/>
      <c r="C153" s="178"/>
      <c r="D153" s="178"/>
      <c r="E153" s="178"/>
      <c r="F153" s="178"/>
      <c r="G153" s="178"/>
      <c r="H153" s="178"/>
    </row>
    <row r="154" spans="1:8" ht="12.75">
      <c r="A154" s="178"/>
      <c r="B154" s="178"/>
      <c r="C154" s="178"/>
      <c r="D154" s="178"/>
      <c r="E154" s="178"/>
      <c r="F154" s="178"/>
      <c r="G154" s="178"/>
      <c r="H154" s="178"/>
    </row>
    <row r="155" spans="1:8" ht="12.75">
      <c r="A155" s="178"/>
      <c r="B155" s="178"/>
      <c r="C155" s="178"/>
      <c r="D155" s="178"/>
      <c r="E155" s="178"/>
      <c r="F155" s="178"/>
      <c r="G155" s="178"/>
      <c r="H155" s="178"/>
    </row>
    <row r="156" spans="1:8" ht="12.75">
      <c r="A156" s="178"/>
      <c r="B156" s="178"/>
      <c r="C156" s="178"/>
      <c r="D156" s="178"/>
      <c r="E156" s="178"/>
      <c r="F156" s="178"/>
      <c r="G156" s="178"/>
      <c r="H156" s="178"/>
    </row>
    <row r="157" spans="1:8" ht="12.75">
      <c r="A157" s="178"/>
      <c r="B157" s="178"/>
      <c r="C157" s="178"/>
      <c r="D157" s="178"/>
      <c r="E157" s="178"/>
      <c r="F157" s="178"/>
      <c r="G157" s="178"/>
      <c r="H157" s="178"/>
    </row>
    <row r="158" spans="1:8" ht="12.75">
      <c r="A158" s="178"/>
      <c r="B158" s="178"/>
      <c r="C158" s="178"/>
      <c r="D158" s="178"/>
      <c r="E158" s="178"/>
      <c r="F158" s="178"/>
      <c r="G158" s="178"/>
      <c r="H158" s="178"/>
    </row>
    <row r="159" spans="1:8" ht="12.75">
      <c r="A159" s="178"/>
      <c r="B159" s="178"/>
      <c r="C159" s="178"/>
      <c r="D159" s="178"/>
      <c r="E159" s="178"/>
      <c r="F159" s="178"/>
      <c r="G159" s="178"/>
      <c r="H159" s="178"/>
    </row>
    <row r="160" spans="1:8" ht="12.75">
      <c r="A160" s="178"/>
      <c r="B160" s="178"/>
      <c r="C160" s="178"/>
      <c r="D160" s="178"/>
      <c r="E160" s="178"/>
      <c r="F160" s="178"/>
      <c r="G160" s="178"/>
      <c r="H160" s="178"/>
    </row>
    <row r="161" spans="1:8" ht="12.75">
      <c r="A161" s="178"/>
      <c r="B161" s="178"/>
      <c r="C161" s="178"/>
      <c r="D161" s="178"/>
      <c r="E161" s="178"/>
      <c r="F161" s="178"/>
      <c r="G161" s="178"/>
      <c r="H161" s="178"/>
    </row>
    <row r="162" spans="1:8" ht="12.75">
      <c r="A162" s="178"/>
      <c r="B162" s="178"/>
      <c r="C162" s="178"/>
      <c r="D162" s="178"/>
      <c r="E162" s="178"/>
      <c r="F162" s="178"/>
      <c r="G162" s="178"/>
      <c r="H162" s="178"/>
    </row>
    <row r="163" spans="1:8" ht="12.75">
      <c r="A163" s="178"/>
      <c r="B163" s="178"/>
      <c r="C163" s="178"/>
      <c r="D163" s="178"/>
      <c r="E163" s="178"/>
      <c r="F163" s="178"/>
      <c r="G163" s="178"/>
      <c r="H163" s="178"/>
    </row>
    <row r="164" spans="1:8" ht="12.75">
      <c r="A164" s="178"/>
      <c r="B164" s="178"/>
      <c r="C164" s="178"/>
      <c r="D164" s="178"/>
      <c r="E164" s="178"/>
      <c r="F164" s="178"/>
      <c r="G164" s="178"/>
      <c r="H164" s="178"/>
    </row>
    <row r="165" spans="1:8" ht="12.75">
      <c r="A165" s="178"/>
      <c r="B165" s="178"/>
      <c r="C165" s="178"/>
      <c r="D165" s="178"/>
      <c r="E165" s="178"/>
      <c r="F165" s="178"/>
      <c r="G165" s="178"/>
      <c r="H165" s="178"/>
    </row>
    <row r="166" spans="1:8" ht="12.75">
      <c r="A166" s="178"/>
      <c r="B166" s="178"/>
      <c r="C166" s="178"/>
      <c r="D166" s="178"/>
      <c r="E166" s="178"/>
      <c r="F166" s="178"/>
      <c r="G166" s="178"/>
      <c r="H166" s="178"/>
    </row>
    <row r="167" spans="1:8" ht="12.75">
      <c r="A167" s="178"/>
      <c r="B167" s="178"/>
      <c r="C167" s="178"/>
      <c r="D167" s="178"/>
      <c r="E167" s="178"/>
      <c r="F167" s="178"/>
      <c r="G167" s="178"/>
      <c r="H167" s="178"/>
    </row>
    <row r="168" spans="1:8" ht="12.75">
      <c r="A168" s="178"/>
      <c r="B168" s="178"/>
      <c r="C168" s="178"/>
      <c r="D168" s="178"/>
      <c r="E168" s="178"/>
      <c r="F168" s="178"/>
      <c r="G168" s="178"/>
      <c r="H168" s="178"/>
    </row>
    <row r="169" spans="1:8" ht="12.75">
      <c r="A169" s="178"/>
      <c r="B169" s="178"/>
      <c r="C169" s="178"/>
      <c r="D169" s="178"/>
      <c r="E169" s="178"/>
      <c r="F169" s="178"/>
      <c r="G169" s="178"/>
      <c r="H169" s="178"/>
    </row>
    <row r="170" spans="1:8" ht="12.75">
      <c r="A170" s="178"/>
      <c r="B170" s="178"/>
      <c r="C170" s="178"/>
      <c r="D170" s="178"/>
      <c r="E170" s="178"/>
      <c r="F170" s="178"/>
      <c r="G170" s="178"/>
      <c r="H170" s="178"/>
    </row>
    <row r="171" spans="1:8" ht="12.75">
      <c r="A171" s="178"/>
      <c r="B171" s="178"/>
      <c r="C171" s="178"/>
      <c r="D171" s="178"/>
      <c r="E171" s="178"/>
      <c r="F171" s="178"/>
      <c r="G171" s="178"/>
      <c r="H171" s="178"/>
    </row>
    <row r="172" spans="1:8" ht="12.75">
      <c r="A172" s="178"/>
      <c r="B172" s="178"/>
      <c r="C172" s="178"/>
      <c r="D172" s="178"/>
      <c r="E172" s="178"/>
      <c r="F172" s="178"/>
      <c r="G172" s="178"/>
      <c r="H172" s="178"/>
    </row>
    <row r="173" spans="1:8" ht="12.75">
      <c r="A173" s="178"/>
      <c r="B173" s="178"/>
      <c r="C173" s="178"/>
      <c r="D173" s="178"/>
      <c r="E173" s="178"/>
      <c r="F173" s="178"/>
      <c r="G173" s="178"/>
      <c r="H173" s="178"/>
    </row>
    <row r="174" spans="1:8" ht="12.75">
      <c r="A174" s="178"/>
      <c r="B174" s="178"/>
      <c r="C174" s="178"/>
      <c r="D174" s="178"/>
      <c r="E174" s="178"/>
      <c r="F174" s="178"/>
      <c r="G174" s="178"/>
      <c r="H174" s="178"/>
    </row>
    <row r="175" spans="1:8" ht="12.75">
      <c r="A175" s="178"/>
      <c r="B175" s="178"/>
      <c r="C175" s="178"/>
      <c r="D175" s="178"/>
      <c r="E175" s="178"/>
      <c r="F175" s="178"/>
      <c r="G175" s="178"/>
      <c r="H175" s="178"/>
    </row>
    <row r="176" spans="1:8" ht="12.75">
      <c r="A176" s="178"/>
      <c r="B176" s="178"/>
      <c r="C176" s="178"/>
      <c r="D176" s="178"/>
      <c r="E176" s="178"/>
      <c r="F176" s="178"/>
      <c r="G176" s="178"/>
      <c r="H176" s="178"/>
    </row>
    <row r="177" spans="1:8" ht="12.75">
      <c r="A177" s="178"/>
      <c r="B177" s="178"/>
      <c r="C177" s="178"/>
      <c r="D177" s="178"/>
      <c r="E177" s="178"/>
      <c r="F177" s="178"/>
      <c r="G177" s="178"/>
      <c r="H177" s="178"/>
    </row>
    <row r="178" spans="1:8" ht="12.75">
      <c r="A178" s="178"/>
      <c r="B178" s="178"/>
      <c r="C178" s="178"/>
      <c r="D178" s="178"/>
      <c r="E178" s="178"/>
      <c r="F178" s="178"/>
      <c r="G178" s="178"/>
      <c r="H178" s="178"/>
    </row>
    <row r="179" spans="1:8" ht="12.75">
      <c r="A179" s="178"/>
      <c r="B179" s="178"/>
      <c r="C179" s="178"/>
      <c r="D179" s="178"/>
      <c r="E179" s="178"/>
      <c r="F179" s="178"/>
      <c r="G179" s="178"/>
      <c r="H179" s="178"/>
    </row>
    <row r="180" spans="1:8" ht="12.75">
      <c r="A180" s="178"/>
      <c r="B180" s="178"/>
      <c r="C180" s="178"/>
      <c r="D180" s="178"/>
      <c r="E180" s="178"/>
      <c r="F180" s="178"/>
      <c r="G180" s="178"/>
      <c r="H180" s="178"/>
    </row>
    <row r="181" spans="1:8" ht="12.75">
      <c r="A181" s="178"/>
      <c r="B181" s="178"/>
      <c r="C181" s="178"/>
      <c r="D181" s="178"/>
      <c r="E181" s="178"/>
      <c r="F181" s="178"/>
      <c r="G181" s="178"/>
      <c r="H181" s="178"/>
    </row>
    <row r="182" spans="1:8" ht="12.75">
      <c r="A182" s="178"/>
      <c r="B182" s="178"/>
      <c r="C182" s="178"/>
      <c r="D182" s="178"/>
      <c r="E182" s="178"/>
      <c r="F182" s="178"/>
      <c r="G182" s="178"/>
      <c r="H182" s="178"/>
    </row>
    <row r="183" spans="1:8" ht="12.75">
      <c r="A183" s="178"/>
      <c r="B183" s="178"/>
      <c r="C183" s="178"/>
      <c r="D183" s="178"/>
      <c r="E183" s="178"/>
      <c r="F183" s="178"/>
      <c r="G183" s="178"/>
      <c r="H183" s="178"/>
    </row>
    <row r="184" spans="1:8" ht="12.75">
      <c r="A184" s="178"/>
      <c r="B184" s="178"/>
      <c r="C184" s="178"/>
      <c r="D184" s="178"/>
      <c r="E184" s="178"/>
      <c r="F184" s="178"/>
      <c r="G184" s="178"/>
      <c r="H184" s="178"/>
    </row>
    <row r="185" spans="1:8" ht="12.75">
      <c r="A185" s="178"/>
      <c r="B185" s="178"/>
      <c r="C185" s="178"/>
      <c r="D185" s="178"/>
      <c r="E185" s="178"/>
      <c r="F185" s="178"/>
      <c r="G185" s="178"/>
      <c r="H185" s="178"/>
    </row>
    <row r="186" spans="1:8" ht="12.75">
      <c r="A186" s="178"/>
      <c r="B186" s="178"/>
      <c r="C186" s="178"/>
      <c r="D186" s="178"/>
      <c r="E186" s="178"/>
      <c r="F186" s="178"/>
      <c r="G186" s="178"/>
      <c r="H186" s="178"/>
    </row>
    <row r="187" spans="1:8" ht="12.75">
      <c r="A187" s="178"/>
      <c r="B187" s="178"/>
      <c r="C187" s="178"/>
      <c r="D187" s="178"/>
      <c r="E187" s="178"/>
      <c r="F187" s="178"/>
      <c r="G187" s="178"/>
      <c r="H187" s="178"/>
    </row>
    <row r="188" spans="1:8" ht="12.75">
      <c r="A188" s="178"/>
      <c r="B188" s="178"/>
      <c r="C188" s="178"/>
      <c r="D188" s="178"/>
      <c r="E188" s="178"/>
      <c r="F188" s="178"/>
      <c r="G188" s="178"/>
      <c r="H188" s="178"/>
    </row>
    <row r="189" spans="1:8" ht="12.75">
      <c r="A189" s="178"/>
      <c r="B189" s="178"/>
      <c r="C189" s="178"/>
      <c r="D189" s="178"/>
      <c r="E189" s="178"/>
      <c r="F189" s="178"/>
      <c r="G189" s="178"/>
      <c r="H189" s="178"/>
    </row>
    <row r="190" spans="1:8" ht="12.75">
      <c r="A190" s="178"/>
      <c r="B190" s="178"/>
      <c r="C190" s="178"/>
      <c r="D190" s="178"/>
      <c r="E190" s="178"/>
      <c r="F190" s="178"/>
      <c r="G190" s="178"/>
      <c r="H190" s="178"/>
    </row>
    <row r="191" spans="1:8" ht="12.75">
      <c r="A191" s="178"/>
      <c r="B191" s="178"/>
      <c r="C191" s="178"/>
      <c r="D191" s="178"/>
      <c r="E191" s="178"/>
      <c r="F191" s="178"/>
      <c r="G191" s="178"/>
      <c r="H191" s="178"/>
    </row>
    <row r="192" spans="1:8" ht="12.75">
      <c r="A192" s="178"/>
      <c r="B192" s="178"/>
      <c r="C192" s="178"/>
      <c r="D192" s="178"/>
      <c r="E192" s="178"/>
      <c r="F192" s="178"/>
      <c r="G192" s="178"/>
      <c r="H192" s="178"/>
    </row>
    <row r="193" spans="1:8" ht="12.75">
      <c r="A193" s="178"/>
      <c r="B193" s="178"/>
      <c r="C193" s="178"/>
      <c r="D193" s="178"/>
      <c r="E193" s="178"/>
      <c r="F193" s="178"/>
      <c r="G193" s="178"/>
      <c r="H193" s="178"/>
    </row>
    <row r="194" spans="1:8" ht="12.75">
      <c r="A194" s="178"/>
      <c r="B194" s="178"/>
      <c r="C194" s="178"/>
      <c r="D194" s="178"/>
      <c r="E194" s="178"/>
      <c r="F194" s="178"/>
      <c r="G194" s="178"/>
      <c r="H194" s="178"/>
    </row>
    <row r="195" spans="1:8" ht="12.75">
      <c r="A195" s="178"/>
      <c r="B195" s="178"/>
      <c r="C195" s="178"/>
      <c r="D195" s="178"/>
      <c r="E195" s="178"/>
      <c r="F195" s="178"/>
      <c r="G195" s="178"/>
      <c r="H195" s="178"/>
    </row>
    <row r="196" spans="1:8" ht="12.75">
      <c r="A196" s="178"/>
      <c r="B196" s="178"/>
      <c r="C196" s="178"/>
      <c r="D196" s="178"/>
      <c r="E196" s="178"/>
      <c r="F196" s="178"/>
      <c r="G196" s="178"/>
      <c r="H196" s="178"/>
    </row>
    <row r="197" spans="1:8" ht="12.75">
      <c r="A197" s="178"/>
      <c r="B197" s="178"/>
      <c r="C197" s="178"/>
      <c r="D197" s="178"/>
      <c r="E197" s="178"/>
      <c r="F197" s="178"/>
      <c r="G197" s="178"/>
      <c r="H197" s="178"/>
    </row>
    <row r="198" spans="1:8" ht="12.75">
      <c r="A198" s="178"/>
      <c r="B198" s="178"/>
      <c r="C198" s="178"/>
      <c r="D198" s="178"/>
      <c r="E198" s="178"/>
      <c r="F198" s="178"/>
      <c r="G198" s="178"/>
      <c r="H198" s="178"/>
    </row>
    <row r="199" spans="1:8" ht="12.75">
      <c r="A199" s="178"/>
      <c r="B199" s="178"/>
      <c r="C199" s="178"/>
      <c r="D199" s="178"/>
      <c r="E199" s="178"/>
      <c r="F199" s="178"/>
      <c r="G199" s="178"/>
      <c r="H199" s="178"/>
    </row>
    <row r="200" spans="1:8" ht="12.75">
      <c r="A200" s="178"/>
      <c r="B200" s="178"/>
      <c r="C200" s="178"/>
      <c r="D200" s="178"/>
      <c r="E200" s="178"/>
      <c r="F200" s="178"/>
      <c r="G200" s="178"/>
      <c r="H200" s="178"/>
    </row>
    <row r="201" spans="1:8" ht="12.75">
      <c r="A201" s="178"/>
      <c r="B201" s="178"/>
      <c r="C201" s="178"/>
      <c r="D201" s="178"/>
      <c r="E201" s="178"/>
      <c r="F201" s="178"/>
      <c r="G201" s="178"/>
      <c r="H201" s="178"/>
    </row>
    <row r="202" spans="1:8" ht="12.75">
      <c r="A202" s="178"/>
      <c r="B202" s="178"/>
      <c r="C202" s="178"/>
      <c r="D202" s="178"/>
      <c r="E202" s="178"/>
      <c r="F202" s="178"/>
      <c r="G202" s="178"/>
      <c r="H202" s="178"/>
    </row>
    <row r="203" spans="1:8" ht="12.75">
      <c r="A203" s="178"/>
      <c r="B203" s="178"/>
      <c r="C203" s="178"/>
      <c r="D203" s="178"/>
      <c r="E203" s="178"/>
      <c r="F203" s="178"/>
      <c r="G203" s="178"/>
      <c r="H203" s="178"/>
    </row>
    <row r="204" spans="1:8" ht="12.75">
      <c r="A204" s="178"/>
      <c r="B204" s="178"/>
      <c r="C204" s="178"/>
      <c r="D204" s="178"/>
      <c r="E204" s="178"/>
      <c r="F204" s="178"/>
      <c r="G204" s="178"/>
      <c r="H204" s="178"/>
    </row>
    <row r="205" spans="1:8" ht="12.75">
      <c r="A205" s="178"/>
      <c r="B205" s="178"/>
      <c r="C205" s="178"/>
      <c r="D205" s="178"/>
      <c r="E205" s="178"/>
      <c r="F205" s="178"/>
      <c r="G205" s="178"/>
      <c r="H205" s="178"/>
    </row>
    <row r="206" spans="1:8" ht="12.75">
      <c r="A206" s="178"/>
      <c r="B206" s="178"/>
      <c r="C206" s="178"/>
      <c r="D206" s="178"/>
      <c r="E206" s="178"/>
      <c r="F206" s="178"/>
      <c r="G206" s="178"/>
      <c r="H206" s="178"/>
    </row>
    <row r="207" spans="1:8" ht="12.75">
      <c r="A207" s="178"/>
      <c r="B207" s="178"/>
      <c r="C207" s="178"/>
      <c r="D207" s="178"/>
      <c r="E207" s="178"/>
      <c r="F207" s="178"/>
      <c r="G207" s="178"/>
      <c r="H207" s="178"/>
    </row>
    <row r="208" spans="1:8" ht="12.75">
      <c r="A208" s="178"/>
      <c r="B208" s="178"/>
      <c r="C208" s="178"/>
      <c r="D208" s="178"/>
      <c r="E208" s="178"/>
      <c r="F208" s="178"/>
      <c r="G208" s="178"/>
      <c r="H208" s="178"/>
    </row>
    <row r="209" spans="1:8" ht="12.75">
      <c r="A209" s="178"/>
      <c r="B209" s="178"/>
      <c r="C209" s="178"/>
      <c r="D209" s="178"/>
      <c r="E209" s="178"/>
      <c r="F209" s="178"/>
      <c r="G209" s="178"/>
      <c r="H209" s="178"/>
    </row>
    <row r="210" spans="1:8" ht="12.75">
      <c r="A210" s="178"/>
      <c r="B210" s="178"/>
      <c r="C210" s="178"/>
      <c r="D210" s="178"/>
      <c r="E210" s="178"/>
      <c r="F210" s="178"/>
      <c r="G210" s="178"/>
      <c r="H210" s="178"/>
    </row>
    <row r="211" spans="1:8" ht="12.75">
      <c r="A211" s="178"/>
      <c r="B211" s="178"/>
      <c r="C211" s="178"/>
      <c r="D211" s="178"/>
      <c r="E211" s="178"/>
      <c r="F211" s="178"/>
      <c r="G211" s="178"/>
      <c r="H211" s="178"/>
    </row>
    <row r="212" spans="1:8" ht="12.75">
      <c r="A212" s="178"/>
      <c r="B212" s="178"/>
      <c r="C212" s="178"/>
      <c r="D212" s="178"/>
      <c r="E212" s="178"/>
      <c r="F212" s="178"/>
      <c r="G212" s="178"/>
      <c r="H212" s="178"/>
    </row>
    <row r="213" spans="1:8" ht="12.75">
      <c r="A213" s="178"/>
      <c r="B213" s="178"/>
      <c r="C213" s="178"/>
      <c r="D213" s="178"/>
      <c r="E213" s="178"/>
      <c r="F213" s="178"/>
      <c r="G213" s="178"/>
      <c r="H213" s="178"/>
    </row>
    <row r="214" spans="1:8" ht="12.75">
      <c r="A214" s="178"/>
      <c r="B214" s="178"/>
      <c r="C214" s="178"/>
      <c r="D214" s="178"/>
      <c r="E214" s="178"/>
      <c r="F214" s="178"/>
      <c r="G214" s="178"/>
      <c r="H214" s="178"/>
    </row>
    <row r="215" spans="1:8" ht="12.75">
      <c r="A215" s="178"/>
      <c r="B215" s="178"/>
      <c r="C215" s="178"/>
      <c r="D215" s="178"/>
      <c r="E215" s="178"/>
      <c r="F215" s="178"/>
      <c r="G215" s="178"/>
      <c r="H215" s="178"/>
    </row>
    <row r="216" spans="1:8" ht="12.75">
      <c r="A216" s="178"/>
      <c r="B216" s="178"/>
      <c r="C216" s="178"/>
      <c r="D216" s="178"/>
      <c r="E216" s="178"/>
      <c r="F216" s="178"/>
      <c r="G216" s="178"/>
      <c r="H216" s="178"/>
    </row>
    <row r="217" spans="1:8" ht="12.75">
      <c r="A217" s="178"/>
      <c r="B217" s="178"/>
      <c r="C217" s="178"/>
      <c r="D217" s="178"/>
      <c r="E217" s="178"/>
      <c r="F217" s="178"/>
      <c r="G217" s="178"/>
      <c r="H217" s="178"/>
    </row>
    <row r="218" spans="1:8" ht="12.75">
      <c r="A218" s="178"/>
      <c r="B218" s="178"/>
      <c r="C218" s="178"/>
      <c r="D218" s="178"/>
      <c r="E218" s="178"/>
      <c r="F218" s="178"/>
      <c r="G218" s="178"/>
      <c r="H218" s="178"/>
    </row>
    <row r="219" spans="1:8" ht="12.75">
      <c r="A219" s="178"/>
      <c r="B219" s="178"/>
      <c r="C219" s="178"/>
      <c r="D219" s="178"/>
      <c r="E219" s="178"/>
      <c r="F219" s="178"/>
      <c r="G219" s="178"/>
      <c r="H219" s="178"/>
    </row>
    <row r="220" spans="1:8" ht="12.75">
      <c r="A220" s="178"/>
      <c r="B220" s="178"/>
      <c r="C220" s="178"/>
      <c r="D220" s="178"/>
      <c r="E220" s="178"/>
      <c r="F220" s="178"/>
      <c r="G220" s="178"/>
      <c r="H220" s="178"/>
    </row>
    <row r="221" spans="1:8" ht="12.75">
      <c r="A221" s="178"/>
      <c r="B221" s="178"/>
      <c r="C221" s="178"/>
      <c r="D221" s="178"/>
      <c r="E221" s="178"/>
      <c r="F221" s="178"/>
      <c r="G221" s="178"/>
      <c r="H221" s="178"/>
    </row>
    <row r="222" spans="1:8" ht="12.75">
      <c r="A222" s="178"/>
      <c r="B222" s="178"/>
      <c r="C222" s="178"/>
      <c r="D222" s="178"/>
      <c r="E222" s="178"/>
      <c r="F222" s="178"/>
      <c r="G222" s="178"/>
      <c r="H222" s="178"/>
    </row>
    <row r="223" spans="1:8" ht="12.75">
      <c r="A223" s="178"/>
      <c r="B223" s="178"/>
      <c r="C223" s="178"/>
      <c r="D223" s="178"/>
      <c r="E223" s="178"/>
      <c r="F223" s="178"/>
      <c r="G223" s="178"/>
      <c r="H223" s="178"/>
    </row>
    <row r="224" spans="1:8" ht="12.75">
      <c r="A224" s="178"/>
      <c r="B224" s="178"/>
      <c r="C224" s="178"/>
      <c r="D224" s="178"/>
      <c r="E224" s="178"/>
      <c r="F224" s="178"/>
      <c r="G224" s="178"/>
      <c r="H224" s="178"/>
    </row>
    <row r="225" spans="1:8" ht="12.75">
      <c r="A225" s="178"/>
      <c r="B225" s="178"/>
      <c r="C225" s="178"/>
      <c r="D225" s="178"/>
      <c r="E225" s="178"/>
      <c r="F225" s="178"/>
      <c r="G225" s="178"/>
      <c r="H225" s="178"/>
    </row>
    <row r="226" spans="1:8" ht="12.75">
      <c r="A226" s="178"/>
      <c r="B226" s="178"/>
      <c r="C226" s="178"/>
      <c r="D226" s="178"/>
      <c r="E226" s="178"/>
      <c r="F226" s="178"/>
      <c r="G226" s="178"/>
      <c r="H226" s="178"/>
    </row>
    <row r="227" spans="1:8" ht="12.75">
      <c r="A227" s="178"/>
      <c r="B227" s="178"/>
      <c r="C227" s="178"/>
      <c r="D227" s="178"/>
      <c r="E227" s="178"/>
      <c r="F227" s="178"/>
      <c r="G227" s="178"/>
      <c r="H227" s="178"/>
    </row>
    <row r="228" spans="1:8" ht="12.75">
      <c r="A228" s="178"/>
      <c r="B228" s="178"/>
      <c r="C228" s="178"/>
      <c r="D228" s="178"/>
      <c r="E228" s="178"/>
      <c r="F228" s="178"/>
      <c r="G228" s="178"/>
      <c r="H228" s="178"/>
    </row>
    <row r="229" spans="1:8" ht="12.75">
      <c r="A229" s="178"/>
      <c r="B229" s="178"/>
      <c r="C229" s="178"/>
      <c r="D229" s="178"/>
      <c r="E229" s="178"/>
      <c r="F229" s="178"/>
      <c r="G229" s="178"/>
      <c r="H229" s="178"/>
    </row>
    <row r="230" spans="1:8" ht="12.75">
      <c r="A230" s="178"/>
      <c r="B230" s="178"/>
      <c r="C230" s="178"/>
      <c r="D230" s="178"/>
      <c r="E230" s="178"/>
      <c r="F230" s="178"/>
      <c r="G230" s="178"/>
      <c r="H230" s="178"/>
    </row>
    <row r="231" spans="1:8" ht="12.75">
      <c r="A231" s="178"/>
      <c r="B231" s="178"/>
      <c r="C231" s="178"/>
      <c r="D231" s="178"/>
      <c r="E231" s="178"/>
      <c r="F231" s="178"/>
      <c r="G231" s="178"/>
      <c r="H231" s="178"/>
    </row>
    <row r="232" spans="1:8" ht="12.75">
      <c r="A232" s="178"/>
      <c r="B232" s="178"/>
      <c r="C232" s="178"/>
      <c r="D232" s="178"/>
      <c r="E232" s="178"/>
      <c r="F232" s="178"/>
      <c r="G232" s="178"/>
      <c r="H232" s="178"/>
    </row>
    <row r="233" spans="1:8" ht="12.75">
      <c r="A233" s="178"/>
      <c r="B233" s="178"/>
      <c r="C233" s="178"/>
      <c r="D233" s="178"/>
      <c r="E233" s="178"/>
      <c r="F233" s="178"/>
      <c r="G233" s="178"/>
      <c r="H233" s="178"/>
    </row>
    <row r="234" spans="1:8" ht="12.75">
      <c r="A234" s="178"/>
      <c r="B234" s="178"/>
      <c r="C234" s="178"/>
      <c r="D234" s="178"/>
      <c r="E234" s="178"/>
      <c r="F234" s="178"/>
      <c r="G234" s="178"/>
      <c r="H234" s="178"/>
    </row>
    <row r="235" spans="1:8" ht="12.75">
      <c r="A235" s="178"/>
      <c r="B235" s="178"/>
      <c r="C235" s="178"/>
      <c r="D235" s="178"/>
      <c r="E235" s="178"/>
      <c r="F235" s="178"/>
      <c r="G235" s="178"/>
      <c r="H235" s="178"/>
    </row>
    <row r="236" spans="1:8" ht="12.75">
      <c r="A236" s="178"/>
      <c r="B236" s="178"/>
      <c r="C236" s="178"/>
      <c r="D236" s="178"/>
      <c r="E236" s="178"/>
      <c r="F236" s="178"/>
      <c r="G236" s="178"/>
      <c r="H236" s="178"/>
    </row>
    <row r="237" spans="1:8" ht="12.75">
      <c r="A237" s="178"/>
      <c r="B237" s="178"/>
      <c r="C237" s="178"/>
      <c r="D237" s="178"/>
      <c r="E237" s="178"/>
      <c r="F237" s="178"/>
      <c r="G237" s="178"/>
      <c r="H237" s="178"/>
    </row>
    <row r="238" spans="1:8" ht="12.75">
      <c r="A238" s="178"/>
      <c r="B238" s="178"/>
      <c r="C238" s="178"/>
      <c r="D238" s="178"/>
      <c r="E238" s="178"/>
      <c r="F238" s="178"/>
      <c r="G238" s="178"/>
      <c r="H238" s="178"/>
    </row>
    <row r="239" spans="1:8" ht="12.75">
      <c r="A239" s="178"/>
      <c r="B239" s="178"/>
      <c r="C239" s="178"/>
      <c r="D239" s="178"/>
      <c r="E239" s="178"/>
      <c r="F239" s="178"/>
      <c r="G239" s="178"/>
      <c r="H239" s="178"/>
    </row>
    <row r="240" spans="1:8" ht="12.75">
      <c r="A240" s="178"/>
      <c r="B240" s="178"/>
      <c r="C240" s="178"/>
      <c r="D240" s="178"/>
      <c r="E240" s="178"/>
      <c r="F240" s="178"/>
      <c r="G240" s="178"/>
      <c r="H240" s="178"/>
    </row>
    <row r="241" spans="1:8" ht="12.75">
      <c r="A241" s="178"/>
      <c r="B241" s="178"/>
      <c r="C241" s="178"/>
      <c r="D241" s="178"/>
      <c r="E241" s="178"/>
      <c r="F241" s="178"/>
      <c r="G241" s="178"/>
      <c r="H241" s="178"/>
    </row>
    <row r="242" spans="1:8" ht="12.75">
      <c r="A242" s="178"/>
      <c r="B242" s="178"/>
      <c r="C242" s="178"/>
      <c r="D242" s="178"/>
      <c r="E242" s="178"/>
      <c r="F242" s="178"/>
      <c r="G242" s="178"/>
      <c r="H242" s="178"/>
    </row>
    <row r="243" spans="1:8" ht="12.75">
      <c r="A243" s="178"/>
      <c r="B243" s="178"/>
      <c r="C243" s="178"/>
      <c r="D243" s="178"/>
      <c r="E243" s="178"/>
      <c r="F243" s="178"/>
      <c r="G243" s="178"/>
      <c r="H243" s="178"/>
    </row>
    <row r="244" spans="1:8" ht="12.75">
      <c r="A244" s="178"/>
      <c r="B244" s="178"/>
      <c r="C244" s="178"/>
      <c r="D244" s="178"/>
      <c r="E244" s="178"/>
      <c r="F244" s="178"/>
      <c r="G244" s="178"/>
      <c r="H244" s="178"/>
    </row>
    <row r="245" spans="1:8" ht="12.75">
      <c r="A245" s="178"/>
      <c r="B245" s="178"/>
      <c r="C245" s="178"/>
      <c r="D245" s="178"/>
      <c r="E245" s="178"/>
      <c r="F245" s="178"/>
      <c r="G245" s="178"/>
      <c r="H245" s="178"/>
    </row>
    <row r="246" spans="1:8" ht="12.75">
      <c r="A246" s="178"/>
      <c r="B246" s="178"/>
      <c r="C246" s="178"/>
      <c r="D246" s="178"/>
      <c r="E246" s="178"/>
      <c r="F246" s="178"/>
      <c r="G246" s="178"/>
      <c r="H246" s="178"/>
    </row>
    <row r="247" spans="1:8" ht="12.75">
      <c r="A247" s="178"/>
      <c r="B247" s="178"/>
      <c r="C247" s="178"/>
      <c r="D247" s="178"/>
      <c r="E247" s="178"/>
      <c r="F247" s="178"/>
      <c r="G247" s="178"/>
      <c r="H247" s="178"/>
    </row>
    <row r="248" spans="1:8" ht="12.75">
      <c r="A248" s="178"/>
      <c r="B248" s="178"/>
      <c r="C248" s="178"/>
      <c r="D248" s="178"/>
      <c r="E248" s="178"/>
      <c r="F248" s="178"/>
      <c r="G248" s="178"/>
      <c r="H248" s="178"/>
    </row>
    <row r="249" spans="1:8" ht="12.75">
      <c r="A249" s="178"/>
      <c r="B249" s="178"/>
      <c r="C249" s="178"/>
      <c r="D249" s="178"/>
      <c r="E249" s="178"/>
      <c r="F249" s="178"/>
      <c r="G249" s="178"/>
      <c r="H249" s="178"/>
    </row>
    <row r="250" spans="1:8" ht="12.75">
      <c r="A250" s="178"/>
      <c r="B250" s="178"/>
      <c r="C250" s="178"/>
      <c r="D250" s="178"/>
      <c r="E250" s="178"/>
      <c r="F250" s="178"/>
      <c r="G250" s="178"/>
      <c r="H250" s="178"/>
    </row>
    <row r="251" spans="1:8" ht="12.75">
      <c r="A251" s="178"/>
      <c r="B251" s="178"/>
      <c r="C251" s="178"/>
      <c r="D251" s="178"/>
      <c r="E251" s="178"/>
      <c r="F251" s="178"/>
      <c r="G251" s="178"/>
      <c r="H251" s="178"/>
    </row>
    <row r="252" spans="1:8" ht="12.75">
      <c r="A252" s="178"/>
      <c r="B252" s="178"/>
      <c r="C252" s="178"/>
      <c r="D252" s="178"/>
      <c r="E252" s="178"/>
      <c r="F252" s="178"/>
      <c r="G252" s="178"/>
      <c r="H252" s="178"/>
    </row>
    <row r="253" spans="1:8" ht="12.75">
      <c r="A253" s="178"/>
      <c r="B253" s="178"/>
      <c r="C253" s="178"/>
      <c r="D253" s="178"/>
      <c r="E253" s="178"/>
      <c r="F253" s="178"/>
      <c r="G253" s="178"/>
      <c r="H253" s="178"/>
    </row>
    <row r="254" spans="1:8" ht="12.75">
      <c r="A254" s="178"/>
      <c r="B254" s="178"/>
      <c r="C254" s="178"/>
      <c r="D254" s="178"/>
      <c r="E254" s="178"/>
      <c r="F254" s="178"/>
      <c r="G254" s="178"/>
      <c r="H254" s="178"/>
    </row>
    <row r="255" spans="1:8" ht="12.75">
      <c r="A255" s="178"/>
      <c r="B255" s="178"/>
      <c r="C255" s="178"/>
      <c r="D255" s="178"/>
      <c r="E255" s="178"/>
      <c r="F255" s="178"/>
      <c r="G255" s="178"/>
      <c r="H255" s="178"/>
    </row>
    <row r="256" spans="1:8" ht="12.75">
      <c r="A256" s="178"/>
      <c r="B256" s="178"/>
      <c r="C256" s="178"/>
      <c r="D256" s="178"/>
      <c r="E256" s="178"/>
      <c r="F256" s="178"/>
      <c r="G256" s="178"/>
      <c r="H256" s="178"/>
    </row>
    <row r="257" spans="1:8" ht="12.75">
      <c r="A257" s="178"/>
      <c r="B257" s="178"/>
      <c r="C257" s="178"/>
      <c r="D257" s="178"/>
      <c r="E257" s="178"/>
      <c r="F257" s="178"/>
      <c r="G257" s="178"/>
      <c r="H257" s="178"/>
    </row>
    <row r="258" spans="1:8" ht="12.75">
      <c r="A258" s="178"/>
      <c r="B258" s="178"/>
      <c r="C258" s="178"/>
      <c r="D258" s="178"/>
      <c r="E258" s="178"/>
      <c r="F258" s="178"/>
      <c r="G258" s="178"/>
      <c r="H258" s="178"/>
    </row>
    <row r="259" spans="1:8" ht="12.75">
      <c r="A259" s="178"/>
      <c r="B259" s="178"/>
      <c r="C259" s="178"/>
      <c r="D259" s="178"/>
      <c r="E259" s="178"/>
      <c r="F259" s="178"/>
      <c r="G259" s="178"/>
      <c r="H259" s="178"/>
    </row>
    <row r="260" spans="1:8" ht="12.75">
      <c r="A260" s="178"/>
      <c r="B260" s="178"/>
      <c r="C260" s="178"/>
      <c r="D260" s="178"/>
      <c r="E260" s="178"/>
      <c r="F260" s="178"/>
      <c r="G260" s="178"/>
      <c r="H260" s="178"/>
    </row>
    <row r="261" spans="1:8" ht="12.75">
      <c r="A261" s="178"/>
      <c r="B261" s="178"/>
      <c r="C261" s="178"/>
      <c r="D261" s="178"/>
      <c r="E261" s="178"/>
      <c r="F261" s="178"/>
      <c r="G261" s="178"/>
      <c r="H261" s="178"/>
    </row>
    <row r="262" spans="1:8" ht="12.75">
      <c r="A262" s="178"/>
      <c r="B262" s="178"/>
      <c r="C262" s="178"/>
      <c r="D262" s="178"/>
      <c r="E262" s="178"/>
      <c r="F262" s="178"/>
      <c r="G262" s="178"/>
      <c r="H262" s="178"/>
    </row>
    <row r="263" spans="1:8" ht="12.75">
      <c r="A263" s="178"/>
      <c r="B263" s="178"/>
      <c r="C263" s="178"/>
      <c r="D263" s="178"/>
      <c r="E263" s="178"/>
      <c r="F263" s="178"/>
      <c r="G263" s="178"/>
      <c r="H263" s="178"/>
    </row>
    <row r="264" spans="1:8" ht="12.75">
      <c r="A264" s="178"/>
      <c r="B264" s="178"/>
      <c r="C264" s="178"/>
      <c r="D264" s="178"/>
      <c r="E264" s="178"/>
      <c r="F264" s="178"/>
      <c r="G264" s="178"/>
      <c r="H264" s="178"/>
    </row>
    <row r="265" spans="1:8" ht="12.75">
      <c r="A265" s="178"/>
      <c r="B265" s="178"/>
      <c r="C265" s="178"/>
      <c r="D265" s="178"/>
      <c r="E265" s="178"/>
      <c r="F265" s="178"/>
      <c r="G265" s="178"/>
      <c r="H265" s="178"/>
    </row>
    <row r="266" spans="1:8" ht="12.75">
      <c r="A266" s="178"/>
      <c r="B266" s="178"/>
      <c r="C266" s="178"/>
      <c r="D266" s="178"/>
      <c r="E266" s="178"/>
      <c r="F266" s="178"/>
      <c r="G266" s="178"/>
      <c r="H266" s="178"/>
    </row>
    <row r="267" spans="1:8" ht="12.75">
      <c r="A267" s="178"/>
      <c r="B267" s="178"/>
      <c r="C267" s="178"/>
      <c r="D267" s="178"/>
      <c r="E267" s="178"/>
      <c r="F267" s="178"/>
      <c r="G267" s="178"/>
      <c r="H267" s="178"/>
    </row>
    <row r="268" spans="1:8" ht="12.75">
      <c r="A268" s="178"/>
      <c r="B268" s="178"/>
      <c r="C268" s="178"/>
      <c r="D268" s="178"/>
      <c r="E268" s="178"/>
      <c r="F268" s="178"/>
      <c r="G268" s="178"/>
      <c r="H268" s="178"/>
    </row>
    <row r="269" spans="1:8" ht="12.75">
      <c r="A269" s="178"/>
      <c r="B269" s="178"/>
      <c r="C269" s="178"/>
      <c r="D269" s="178"/>
      <c r="E269" s="178"/>
      <c r="F269" s="178"/>
      <c r="G269" s="178"/>
      <c r="H269" s="178"/>
    </row>
    <row r="270" spans="1:8" ht="12.75">
      <c r="A270" s="178"/>
      <c r="B270" s="178"/>
      <c r="C270" s="178"/>
      <c r="D270" s="178"/>
      <c r="E270" s="178"/>
      <c r="F270" s="178"/>
      <c r="G270" s="178"/>
      <c r="H270" s="178"/>
    </row>
    <row r="271" spans="1:8" ht="12.75">
      <c r="A271" s="178"/>
      <c r="B271" s="178"/>
      <c r="C271" s="178"/>
      <c r="D271" s="178"/>
      <c r="E271" s="178"/>
      <c r="F271" s="178"/>
      <c r="G271" s="178"/>
      <c r="H271" s="178"/>
    </row>
    <row r="272" spans="1:8" ht="12.75">
      <c r="A272" s="178"/>
      <c r="B272" s="178"/>
      <c r="C272" s="178"/>
      <c r="D272" s="178"/>
      <c r="E272" s="178"/>
      <c r="F272" s="178"/>
      <c r="G272" s="178"/>
      <c r="H272" s="178"/>
    </row>
    <row r="273" spans="1:8" ht="12.75">
      <c r="A273" s="178"/>
      <c r="B273" s="178"/>
      <c r="C273" s="178"/>
      <c r="D273" s="178"/>
      <c r="E273" s="178"/>
      <c r="F273" s="178"/>
      <c r="G273" s="178"/>
      <c r="H273" s="178"/>
    </row>
    <row r="274" spans="1:8" ht="12.75">
      <c r="A274" s="178"/>
      <c r="B274" s="178"/>
      <c r="C274" s="178"/>
      <c r="D274" s="178"/>
      <c r="E274" s="178"/>
      <c r="F274" s="178"/>
      <c r="G274" s="178"/>
      <c r="H274" s="178"/>
    </row>
    <row r="275" spans="1:8" ht="12.75">
      <c r="A275" s="178"/>
      <c r="B275" s="178"/>
      <c r="C275" s="178"/>
      <c r="D275" s="178"/>
      <c r="E275" s="178"/>
      <c r="F275" s="178"/>
      <c r="G275" s="178"/>
      <c r="H275" s="178"/>
    </row>
    <row r="276" spans="1:8" ht="12.75">
      <c r="A276" s="178"/>
      <c r="B276" s="178"/>
      <c r="C276" s="178"/>
      <c r="D276" s="178"/>
      <c r="E276" s="178"/>
      <c r="F276" s="178"/>
      <c r="G276" s="178"/>
      <c r="H276" s="178"/>
    </row>
    <row r="277" spans="1:8" ht="12.75">
      <c r="A277" s="178"/>
      <c r="B277" s="178"/>
      <c r="C277" s="178"/>
      <c r="D277" s="178"/>
      <c r="E277" s="178"/>
      <c r="F277" s="178"/>
      <c r="G277" s="178"/>
      <c r="H277" s="178"/>
    </row>
    <row r="278" spans="1:8" ht="12.75">
      <c r="A278" s="178"/>
      <c r="B278" s="178"/>
      <c r="C278" s="178"/>
      <c r="D278" s="178"/>
      <c r="E278" s="178"/>
      <c r="F278" s="178"/>
      <c r="G278" s="178"/>
      <c r="H278" s="178"/>
    </row>
    <row r="279" spans="1:8" ht="12.75">
      <c r="A279" s="178"/>
      <c r="B279" s="178"/>
      <c r="C279" s="178"/>
      <c r="D279" s="178"/>
      <c r="E279" s="178"/>
      <c r="F279" s="178"/>
      <c r="G279" s="178"/>
      <c r="H279" s="178"/>
    </row>
    <row r="280" spans="1:8" ht="12.75">
      <c r="A280" s="178"/>
      <c r="B280" s="178"/>
      <c r="C280" s="178"/>
      <c r="D280" s="178"/>
      <c r="E280" s="178"/>
      <c r="F280" s="178"/>
      <c r="G280" s="178"/>
      <c r="H280" s="178"/>
    </row>
    <row r="281" spans="1:8" ht="12.75">
      <c r="A281" s="178"/>
      <c r="B281" s="178"/>
      <c r="C281" s="178"/>
      <c r="D281" s="178"/>
      <c r="E281" s="178"/>
      <c r="F281" s="178"/>
      <c r="G281" s="178"/>
      <c r="H281" s="178"/>
    </row>
    <row r="282" spans="1:8" ht="12.75">
      <c r="A282" s="178"/>
      <c r="B282" s="178"/>
      <c r="C282" s="178"/>
      <c r="D282" s="178"/>
      <c r="E282" s="178"/>
      <c r="F282" s="178"/>
      <c r="G282" s="178"/>
      <c r="H282" s="178"/>
    </row>
    <row r="283" spans="1:8" ht="12.75">
      <c r="A283" s="178"/>
      <c r="B283" s="178"/>
      <c r="C283" s="178"/>
      <c r="D283" s="178"/>
      <c r="E283" s="178"/>
      <c r="F283" s="178"/>
      <c r="G283" s="178"/>
      <c r="H283" s="178"/>
    </row>
    <row r="284" spans="1:8" ht="12.75">
      <c r="A284" s="178"/>
      <c r="B284" s="178"/>
      <c r="C284" s="178"/>
      <c r="D284" s="178"/>
      <c r="E284" s="178"/>
      <c r="F284" s="178"/>
      <c r="G284" s="178"/>
      <c r="H284" s="178"/>
    </row>
    <row r="285" spans="1:8" ht="12.75">
      <c r="A285" s="178"/>
      <c r="B285" s="178"/>
      <c r="C285" s="178"/>
      <c r="D285" s="178"/>
      <c r="E285" s="178"/>
      <c r="F285" s="178"/>
      <c r="G285" s="178"/>
      <c r="H285" s="178"/>
    </row>
    <row r="286" spans="1:8" ht="12.75">
      <c r="A286" s="178"/>
      <c r="B286" s="178"/>
      <c r="C286" s="178"/>
      <c r="D286" s="178"/>
      <c r="E286" s="178"/>
      <c r="F286" s="178"/>
      <c r="G286" s="178"/>
      <c r="H286" s="178"/>
    </row>
    <row r="287" spans="1:8" ht="12.75">
      <c r="A287" s="178"/>
      <c r="B287" s="178"/>
      <c r="C287" s="178"/>
      <c r="D287" s="178"/>
      <c r="E287" s="178"/>
      <c r="F287" s="178"/>
      <c r="G287" s="178"/>
      <c r="H287" s="178"/>
    </row>
    <row r="288" spans="1:8" ht="12.75">
      <c r="A288" s="178"/>
      <c r="B288" s="178"/>
      <c r="C288" s="178"/>
      <c r="D288" s="178"/>
      <c r="E288" s="178"/>
      <c r="F288" s="178"/>
      <c r="G288" s="178"/>
      <c r="H288" s="178"/>
    </row>
    <row r="289" spans="1:8" ht="12.75">
      <c r="A289" s="178"/>
      <c r="B289" s="178"/>
      <c r="C289" s="178"/>
      <c r="D289" s="178"/>
      <c r="E289" s="178"/>
      <c r="F289" s="178"/>
      <c r="G289" s="178"/>
      <c r="H289" s="178"/>
    </row>
    <row r="290" spans="1:8" ht="12.75">
      <c r="A290" s="178"/>
      <c r="B290" s="178"/>
      <c r="C290" s="178"/>
      <c r="D290" s="178"/>
      <c r="E290" s="178"/>
      <c r="F290" s="178"/>
      <c r="G290" s="178"/>
      <c r="H290" s="178"/>
    </row>
    <row r="291" spans="1:8" ht="12.75">
      <c r="A291" s="178"/>
      <c r="B291" s="178"/>
      <c r="C291" s="178"/>
      <c r="D291" s="178"/>
      <c r="E291" s="178"/>
      <c r="F291" s="178"/>
      <c r="G291" s="178"/>
      <c r="H291" s="178"/>
    </row>
    <row r="292" spans="1:8" ht="12.75">
      <c r="A292" s="178"/>
      <c r="B292" s="178"/>
      <c r="C292" s="178"/>
      <c r="D292" s="178"/>
      <c r="E292" s="178"/>
      <c r="F292" s="178"/>
      <c r="G292" s="178"/>
      <c r="H292" s="178"/>
    </row>
    <row r="293" spans="1:8" ht="12.75">
      <c r="A293" s="178"/>
      <c r="B293" s="178"/>
      <c r="C293" s="178"/>
      <c r="D293" s="178"/>
      <c r="E293" s="178"/>
      <c r="F293" s="178"/>
      <c r="G293" s="178"/>
      <c r="H293" s="178"/>
    </row>
    <row r="294" spans="1:8" ht="12.75">
      <c r="A294" s="178"/>
      <c r="B294" s="178"/>
      <c r="C294" s="178"/>
      <c r="D294" s="178"/>
      <c r="E294" s="178"/>
      <c r="F294" s="178"/>
      <c r="G294" s="178"/>
      <c r="H294" s="178"/>
    </row>
    <row r="295" spans="1:8" ht="12.75">
      <c r="A295" s="178"/>
      <c r="B295" s="178"/>
      <c r="C295" s="178"/>
      <c r="D295" s="178"/>
      <c r="E295" s="178"/>
      <c r="F295" s="178"/>
      <c r="G295" s="178"/>
      <c r="H295" s="178"/>
    </row>
    <row r="296" spans="1:8" ht="12.75">
      <c r="A296" s="178"/>
      <c r="B296" s="178"/>
      <c r="C296" s="178"/>
      <c r="D296" s="178"/>
      <c r="E296" s="178"/>
      <c r="F296" s="178"/>
      <c r="G296" s="178"/>
      <c r="H296" s="178"/>
    </row>
    <row r="297" spans="1:8" ht="12.75">
      <c r="A297" s="178"/>
      <c r="B297" s="178"/>
      <c r="C297" s="178"/>
      <c r="D297" s="178"/>
      <c r="E297" s="178"/>
      <c r="F297" s="178"/>
      <c r="G297" s="178"/>
      <c r="H297" s="178"/>
    </row>
    <row r="298" spans="1:8" ht="12.75">
      <c r="A298" s="178"/>
      <c r="B298" s="178"/>
      <c r="C298" s="178"/>
      <c r="D298" s="178"/>
      <c r="E298" s="178"/>
      <c r="F298" s="178"/>
      <c r="G298" s="178"/>
      <c r="H298" s="178"/>
    </row>
    <row r="299" spans="1:8" ht="12.75">
      <c r="A299" s="178"/>
      <c r="B299" s="178"/>
      <c r="C299" s="178"/>
      <c r="D299" s="178"/>
      <c r="E299" s="178"/>
      <c r="F299" s="178"/>
      <c r="G299" s="178"/>
      <c r="H299" s="178"/>
    </row>
    <row r="300" spans="1:8" ht="12.75">
      <c r="A300" s="178"/>
      <c r="B300" s="178"/>
      <c r="C300" s="178"/>
      <c r="D300" s="178"/>
      <c r="E300" s="178"/>
      <c r="F300" s="178"/>
      <c r="G300" s="178"/>
      <c r="H300" s="178"/>
    </row>
    <row r="301" spans="1:8" ht="12.75">
      <c r="A301" s="178"/>
      <c r="B301" s="178"/>
      <c r="C301" s="178"/>
      <c r="D301" s="178"/>
      <c r="E301" s="178"/>
      <c r="F301" s="178"/>
      <c r="G301" s="178"/>
      <c r="H301" s="178"/>
    </row>
    <row r="302" spans="1:8" ht="12.75">
      <c r="A302" s="178"/>
      <c r="B302" s="178"/>
      <c r="C302" s="178"/>
      <c r="D302" s="178"/>
      <c r="E302" s="178"/>
      <c r="F302" s="178"/>
      <c r="G302" s="178"/>
      <c r="H302" s="178"/>
    </row>
    <row r="303" spans="1:8" ht="12.75">
      <c r="A303" s="178"/>
      <c r="B303" s="178"/>
      <c r="C303" s="178"/>
      <c r="D303" s="178"/>
      <c r="E303" s="178"/>
      <c r="F303" s="178"/>
      <c r="G303" s="178"/>
      <c r="H303" s="178"/>
    </row>
    <row r="304" spans="1:8" ht="12.75">
      <c r="A304" s="178"/>
      <c r="B304" s="178"/>
      <c r="C304" s="178"/>
      <c r="D304" s="178"/>
      <c r="E304" s="178"/>
      <c r="F304" s="178"/>
      <c r="G304" s="178"/>
      <c r="H304" s="178"/>
    </row>
    <row r="305" spans="1:8" ht="12.75">
      <c r="A305" s="178"/>
      <c r="B305" s="178"/>
      <c r="C305" s="178"/>
      <c r="D305" s="178"/>
      <c r="E305" s="178"/>
      <c r="F305" s="178"/>
      <c r="G305" s="178"/>
      <c r="H305" s="178"/>
    </row>
    <row r="306" spans="1:8" ht="12.75">
      <c r="A306" s="178"/>
      <c r="B306" s="178"/>
      <c r="C306" s="178"/>
      <c r="D306" s="178"/>
      <c r="E306" s="178"/>
      <c r="F306" s="178"/>
      <c r="G306" s="178"/>
      <c r="H306" s="178"/>
    </row>
    <row r="307" spans="1:8" ht="12.75">
      <c r="A307" s="178"/>
      <c r="B307" s="178"/>
      <c r="C307" s="178"/>
      <c r="D307" s="178"/>
      <c r="E307" s="178"/>
      <c r="F307" s="178"/>
      <c r="G307" s="178"/>
      <c r="H307" s="178"/>
    </row>
    <row r="308" spans="1:8" ht="12.75">
      <c r="A308" s="178"/>
      <c r="B308" s="178"/>
      <c r="C308" s="178"/>
      <c r="D308" s="178"/>
      <c r="E308" s="178"/>
      <c r="F308" s="178"/>
      <c r="G308" s="178"/>
      <c r="H308" s="178"/>
    </row>
    <row r="309" spans="1:8" ht="12.75">
      <c r="A309" s="178"/>
      <c r="B309" s="178"/>
      <c r="C309" s="178"/>
      <c r="D309" s="178"/>
      <c r="E309" s="178"/>
      <c r="F309" s="178"/>
      <c r="G309" s="178"/>
      <c r="H309" s="178"/>
    </row>
    <row r="310" spans="1:8" ht="12.75">
      <c r="A310" s="178"/>
      <c r="B310" s="178"/>
      <c r="C310" s="178"/>
      <c r="D310" s="178"/>
      <c r="E310" s="178"/>
      <c r="F310" s="178"/>
      <c r="G310" s="178"/>
      <c r="H310" s="178"/>
    </row>
    <row r="311" spans="1:8" ht="12.75">
      <c r="A311" s="178"/>
      <c r="B311" s="178"/>
      <c r="C311" s="178"/>
      <c r="D311" s="178"/>
      <c r="E311" s="178"/>
      <c r="F311" s="178"/>
      <c r="G311" s="178"/>
      <c r="H311" s="178"/>
    </row>
    <row r="312" spans="1:8" ht="12.75">
      <c r="A312" s="178"/>
      <c r="B312" s="178"/>
      <c r="C312" s="178"/>
      <c r="D312" s="178"/>
      <c r="E312" s="178"/>
      <c r="F312" s="178"/>
      <c r="G312" s="178"/>
      <c r="H312" s="178"/>
    </row>
    <row r="313" spans="1:8" ht="12.75">
      <c r="A313" s="178"/>
      <c r="B313" s="178"/>
      <c r="C313" s="178"/>
      <c r="D313" s="178"/>
      <c r="E313" s="178"/>
      <c r="F313" s="178"/>
      <c r="G313" s="178"/>
      <c r="H313" s="178"/>
    </row>
    <row r="314" spans="1:8" ht="12.75">
      <c r="A314" s="178"/>
      <c r="B314" s="178"/>
      <c r="C314" s="178"/>
      <c r="D314" s="178"/>
      <c r="E314" s="178"/>
      <c r="F314" s="178"/>
      <c r="G314" s="178"/>
      <c r="H314" s="178"/>
    </row>
    <row r="315" spans="1:8" ht="12.75">
      <c r="A315" s="178"/>
      <c r="B315" s="178"/>
      <c r="C315" s="178"/>
      <c r="D315" s="178"/>
      <c r="E315" s="178"/>
      <c r="F315" s="178"/>
      <c r="G315" s="178"/>
      <c r="H315" s="178"/>
    </row>
    <row r="316" spans="1:8" ht="12.75">
      <c r="A316" s="178"/>
      <c r="B316" s="178"/>
      <c r="C316" s="178"/>
      <c r="D316" s="178"/>
      <c r="E316" s="178"/>
      <c r="F316" s="178"/>
      <c r="G316" s="178"/>
      <c r="H316" s="178"/>
    </row>
    <row r="317" spans="1:8" ht="12.75">
      <c r="A317" s="178"/>
      <c r="B317" s="178"/>
      <c r="C317" s="178"/>
      <c r="D317" s="178"/>
      <c r="E317" s="178"/>
      <c r="F317" s="178"/>
      <c r="G317" s="178"/>
      <c r="H317" s="178"/>
    </row>
    <row r="318" spans="1:8" ht="12.75">
      <c r="A318" s="178"/>
      <c r="B318" s="178"/>
      <c r="C318" s="178"/>
      <c r="D318" s="178"/>
      <c r="E318" s="178"/>
      <c r="F318" s="178"/>
      <c r="G318" s="178"/>
      <c r="H318" s="178"/>
    </row>
    <row r="319" spans="1:8" ht="12.75">
      <c r="A319" s="178"/>
      <c r="B319" s="178"/>
      <c r="C319" s="178"/>
      <c r="D319" s="178"/>
      <c r="E319" s="178"/>
      <c r="F319" s="178"/>
      <c r="G319" s="178"/>
      <c r="H319" s="178"/>
    </row>
    <row r="320" spans="1:8" ht="12.75">
      <c r="A320" s="178"/>
      <c r="B320" s="178"/>
      <c r="C320" s="178"/>
      <c r="D320" s="178"/>
      <c r="E320" s="178"/>
      <c r="F320" s="178"/>
      <c r="G320" s="178"/>
      <c r="H320" s="178"/>
    </row>
    <row r="321" spans="1:8" ht="12.75">
      <c r="A321" s="178"/>
      <c r="B321" s="178"/>
      <c r="C321" s="178"/>
      <c r="D321" s="178"/>
      <c r="E321" s="178"/>
      <c r="F321" s="178"/>
      <c r="G321" s="178"/>
      <c r="H321" s="178"/>
    </row>
    <row r="322" spans="1:8" ht="12.75">
      <c r="A322" s="178"/>
      <c r="B322" s="178"/>
      <c r="C322" s="178"/>
      <c r="D322" s="178"/>
      <c r="E322" s="178"/>
      <c r="F322" s="178"/>
      <c r="G322" s="178"/>
      <c r="H322" s="178"/>
    </row>
    <row r="323" spans="1:8" ht="12.75">
      <c r="A323" s="178"/>
      <c r="B323" s="178"/>
      <c r="C323" s="178"/>
      <c r="D323" s="178"/>
      <c r="E323" s="178"/>
      <c r="F323" s="178"/>
      <c r="G323" s="178"/>
      <c r="H323" s="178"/>
    </row>
    <row r="324" spans="1:8" ht="12.75">
      <c r="A324" s="178"/>
      <c r="B324" s="178"/>
      <c r="C324" s="178"/>
      <c r="D324" s="178"/>
      <c r="E324" s="178"/>
      <c r="F324" s="178"/>
      <c r="G324" s="178"/>
      <c r="H324" s="178"/>
    </row>
    <row r="325" spans="1:8" ht="12.75">
      <c r="A325" s="178"/>
      <c r="B325" s="178"/>
      <c r="C325" s="178"/>
      <c r="D325" s="178"/>
      <c r="E325" s="178"/>
      <c r="F325" s="178"/>
      <c r="G325" s="178"/>
      <c r="H325" s="178"/>
    </row>
    <row r="326" spans="1:8" ht="12.75">
      <c r="A326" s="178"/>
      <c r="B326" s="178"/>
      <c r="C326" s="178"/>
      <c r="D326" s="178"/>
      <c r="E326" s="178"/>
      <c r="F326" s="178"/>
      <c r="G326" s="178"/>
      <c r="H326" s="178"/>
    </row>
    <row r="327" spans="1:8" ht="12.75">
      <c r="A327" s="178"/>
      <c r="B327" s="178"/>
      <c r="C327" s="178"/>
      <c r="D327" s="178"/>
      <c r="E327" s="178"/>
      <c r="F327" s="178"/>
      <c r="G327" s="178"/>
      <c r="H327" s="178"/>
    </row>
    <row r="328" spans="1:8" ht="12.75">
      <c r="A328" s="178"/>
      <c r="B328" s="178"/>
      <c r="C328" s="178"/>
      <c r="D328" s="178"/>
      <c r="E328" s="178"/>
      <c r="F328" s="178"/>
      <c r="G328" s="178"/>
      <c r="H328" s="178"/>
    </row>
    <row r="329" spans="1:8" ht="12.75">
      <c r="A329" s="178"/>
      <c r="B329" s="178"/>
      <c r="C329" s="178"/>
      <c r="D329" s="178"/>
      <c r="E329" s="178"/>
      <c r="F329" s="178"/>
      <c r="G329" s="178"/>
      <c r="H329" s="178"/>
    </row>
    <row r="330" spans="1:8" ht="12.75">
      <c r="A330" s="178"/>
      <c r="B330" s="178"/>
      <c r="C330" s="178"/>
      <c r="D330" s="178"/>
      <c r="E330" s="178"/>
      <c r="F330" s="178"/>
      <c r="G330" s="178"/>
      <c r="H330" s="178"/>
    </row>
    <row r="331" spans="1:8" ht="12.75">
      <c r="A331" s="178"/>
      <c r="B331" s="178"/>
      <c r="C331" s="178"/>
      <c r="D331" s="178"/>
      <c r="E331" s="178"/>
      <c r="F331" s="178"/>
      <c r="G331" s="178"/>
      <c r="H331" s="178"/>
    </row>
    <row r="332" spans="1:8" ht="12.75">
      <c r="A332" s="178"/>
      <c r="B332" s="178"/>
      <c r="C332" s="178"/>
      <c r="D332" s="178"/>
      <c r="E332" s="178"/>
      <c r="F332" s="178"/>
      <c r="G332" s="178"/>
      <c r="H332" s="178"/>
    </row>
    <row r="333" spans="1:8" ht="12.75">
      <c r="A333" s="178"/>
      <c r="B333" s="178"/>
      <c r="C333" s="178"/>
      <c r="D333" s="178"/>
      <c r="E333" s="178"/>
      <c r="F333" s="178"/>
      <c r="G333" s="178"/>
      <c r="H333" s="178"/>
    </row>
    <row r="334" spans="1:8" ht="12.75">
      <c r="A334" s="178"/>
      <c r="B334" s="178"/>
      <c r="C334" s="178"/>
      <c r="D334" s="178"/>
      <c r="E334" s="178"/>
      <c r="F334" s="178"/>
      <c r="G334" s="178"/>
      <c r="H334" s="178"/>
    </row>
    <row r="335" spans="1:8" ht="12.75">
      <c r="A335" s="178"/>
      <c r="B335" s="178"/>
      <c r="C335" s="178"/>
      <c r="D335" s="178"/>
      <c r="E335" s="178"/>
      <c r="F335" s="178"/>
      <c r="G335" s="178"/>
      <c r="H335" s="178"/>
    </row>
    <row r="336" spans="1:8" ht="12.75">
      <c r="A336" s="178"/>
      <c r="B336" s="178"/>
      <c r="C336" s="178"/>
      <c r="D336" s="178"/>
      <c r="E336" s="178"/>
      <c r="F336" s="178"/>
      <c r="G336" s="178"/>
      <c r="H336" s="178"/>
    </row>
    <row r="337" spans="1:8" ht="12.75">
      <c r="A337" s="178"/>
      <c r="B337" s="178"/>
      <c r="C337" s="178"/>
      <c r="D337" s="178"/>
      <c r="E337" s="178"/>
      <c r="F337" s="178"/>
      <c r="G337" s="178"/>
      <c r="H337" s="178"/>
    </row>
    <row r="338" spans="1:8" ht="12.75">
      <c r="A338" s="178"/>
      <c r="B338" s="178"/>
      <c r="C338" s="178"/>
      <c r="D338" s="178"/>
      <c r="E338" s="178"/>
      <c r="F338" s="178"/>
      <c r="G338" s="178"/>
      <c r="H338" s="178"/>
    </row>
    <row r="339" spans="1:8" ht="12.75">
      <c r="A339" s="178"/>
      <c r="B339" s="178"/>
      <c r="C339" s="178"/>
      <c r="D339" s="178"/>
      <c r="E339" s="178"/>
      <c r="F339" s="178"/>
      <c r="G339" s="178"/>
      <c r="H339" s="178"/>
    </row>
    <row r="340" spans="1:8" ht="12.75">
      <c r="A340" s="178"/>
      <c r="B340" s="178"/>
      <c r="C340" s="178"/>
      <c r="D340" s="178"/>
      <c r="E340" s="178"/>
      <c r="F340" s="178"/>
      <c r="G340" s="178"/>
      <c r="H340" s="178"/>
    </row>
    <row r="341" spans="1:8" ht="12.75">
      <c r="A341" s="178"/>
      <c r="B341" s="178"/>
      <c r="C341" s="178"/>
      <c r="D341" s="178"/>
      <c r="E341" s="178"/>
      <c r="F341" s="178"/>
      <c r="G341" s="178"/>
      <c r="H341" s="178"/>
    </row>
    <row r="342" spans="1:8" ht="12.75">
      <c r="A342" s="178"/>
      <c r="B342" s="178"/>
      <c r="C342" s="178"/>
      <c r="D342" s="178"/>
      <c r="E342" s="178"/>
      <c r="F342" s="178"/>
      <c r="G342" s="178"/>
      <c r="H342" s="178"/>
    </row>
    <row r="343" spans="1:8" ht="12.75">
      <c r="A343" s="178"/>
      <c r="B343" s="178"/>
      <c r="C343" s="178"/>
      <c r="D343" s="178"/>
      <c r="E343" s="178"/>
      <c r="F343" s="178"/>
      <c r="G343" s="178"/>
      <c r="H343" s="178"/>
    </row>
    <row r="344" spans="1:8" ht="12.75">
      <c r="A344" s="178"/>
      <c r="B344" s="178"/>
      <c r="C344" s="178"/>
      <c r="D344" s="178"/>
      <c r="E344" s="178"/>
      <c r="F344" s="178"/>
      <c r="G344" s="178"/>
      <c r="H344" s="178"/>
    </row>
    <row r="345" spans="1:8" ht="12.75">
      <c r="A345" s="178"/>
      <c r="B345" s="178"/>
      <c r="C345" s="178"/>
      <c r="D345" s="178"/>
      <c r="E345" s="178"/>
      <c r="F345" s="178"/>
      <c r="G345" s="178"/>
      <c r="H345" s="178"/>
    </row>
    <row r="346" spans="1:8" ht="12.75">
      <c r="A346" s="178"/>
      <c r="B346" s="178"/>
      <c r="C346" s="178"/>
      <c r="D346" s="178"/>
      <c r="E346" s="178"/>
      <c r="F346" s="178"/>
      <c r="G346" s="178"/>
      <c r="H346" s="178"/>
    </row>
    <row r="347" spans="1:8" ht="12.75">
      <c r="A347" s="178"/>
      <c r="B347" s="178"/>
      <c r="C347" s="178"/>
      <c r="D347" s="178"/>
      <c r="E347" s="178"/>
      <c r="F347" s="178"/>
      <c r="G347" s="178"/>
      <c r="H347" s="178"/>
    </row>
    <row r="348" spans="1:8" ht="12.75">
      <c r="A348" s="178"/>
      <c r="B348" s="178"/>
      <c r="C348" s="178"/>
      <c r="D348" s="178"/>
      <c r="E348" s="178"/>
      <c r="F348" s="178"/>
      <c r="G348" s="178"/>
      <c r="H348" s="178"/>
    </row>
    <row r="349" spans="1:8" ht="12.75">
      <c r="A349" s="178"/>
      <c r="B349" s="178"/>
      <c r="C349" s="178"/>
      <c r="D349" s="178"/>
      <c r="E349" s="178"/>
      <c r="F349" s="178"/>
      <c r="G349" s="178"/>
      <c r="H349" s="178"/>
    </row>
    <row r="350" spans="1:8" ht="12.75">
      <c r="A350" s="178"/>
      <c r="B350" s="178"/>
      <c r="C350" s="178"/>
      <c r="D350" s="178"/>
      <c r="E350" s="178"/>
      <c r="F350" s="178"/>
      <c r="G350" s="178"/>
      <c r="H350" s="178"/>
    </row>
    <row r="351" spans="1:8" ht="12.75">
      <c r="A351" s="178"/>
      <c r="B351" s="178"/>
      <c r="C351" s="178"/>
      <c r="D351" s="178"/>
      <c r="E351" s="178"/>
      <c r="F351" s="178"/>
      <c r="G351" s="178"/>
      <c r="H351" s="178"/>
    </row>
    <row r="352" spans="1:8" ht="12.75">
      <c r="A352" s="178"/>
      <c r="B352" s="178"/>
      <c r="C352" s="178"/>
      <c r="D352" s="178"/>
      <c r="E352" s="178"/>
      <c r="F352" s="178"/>
      <c r="G352" s="178"/>
      <c r="H352" s="178"/>
    </row>
    <row r="353" spans="1:8" ht="12.75">
      <c r="A353" s="178"/>
      <c r="B353" s="178"/>
      <c r="C353" s="178"/>
      <c r="D353" s="178"/>
      <c r="E353" s="178"/>
      <c r="F353" s="178"/>
      <c r="G353" s="178"/>
      <c r="H353" s="178"/>
    </row>
    <row r="354" spans="1:8" ht="12.75">
      <c r="A354" s="178"/>
      <c r="B354" s="178"/>
      <c r="C354" s="178"/>
      <c r="D354" s="178"/>
      <c r="E354" s="178"/>
      <c r="F354" s="178"/>
      <c r="G354" s="178"/>
      <c r="H354" s="178"/>
    </row>
    <row r="355" spans="1:8" ht="12.75">
      <c r="A355" s="178"/>
      <c r="B355" s="178"/>
      <c r="C355" s="178"/>
      <c r="D355" s="178"/>
      <c r="E355" s="178"/>
      <c r="F355" s="178"/>
      <c r="G355" s="178"/>
      <c r="H355" s="178"/>
    </row>
    <row r="356" spans="1:8" ht="12.75">
      <c r="A356" s="178"/>
      <c r="B356" s="178"/>
      <c r="C356" s="178"/>
      <c r="D356" s="178"/>
      <c r="E356" s="178"/>
      <c r="F356" s="178"/>
      <c r="G356" s="178"/>
      <c r="H356" s="178"/>
    </row>
    <row r="357" spans="1:8" ht="12.75">
      <c r="A357" s="178"/>
      <c r="B357" s="178"/>
      <c r="C357" s="178"/>
      <c r="D357" s="178"/>
      <c r="E357" s="178"/>
      <c r="F357" s="178"/>
      <c r="G357" s="178"/>
      <c r="H357" s="178"/>
    </row>
    <row r="358" spans="1:8" ht="12.75">
      <c r="A358" s="178"/>
      <c r="B358" s="178"/>
      <c r="C358" s="178"/>
      <c r="D358" s="178"/>
      <c r="E358" s="178"/>
      <c r="F358" s="178"/>
      <c r="G358" s="178"/>
      <c r="H358" s="178"/>
    </row>
    <row r="359" spans="1:8" ht="12.75">
      <c r="A359" s="178"/>
      <c r="B359" s="178"/>
      <c r="C359" s="178"/>
      <c r="D359" s="178"/>
      <c r="E359" s="178"/>
      <c r="F359" s="178"/>
      <c r="G359" s="178"/>
      <c r="H359" s="178"/>
    </row>
    <row r="360" spans="1:8" ht="12.75">
      <c r="A360" s="178"/>
      <c r="B360" s="178"/>
      <c r="C360" s="178"/>
      <c r="D360" s="178"/>
      <c r="E360" s="178"/>
      <c r="F360" s="178"/>
      <c r="G360" s="178"/>
      <c r="H360" s="178"/>
    </row>
    <row r="361" spans="1:8" ht="12.75">
      <c r="A361" s="178"/>
      <c r="B361" s="178"/>
      <c r="C361" s="178"/>
      <c r="D361" s="178"/>
      <c r="E361" s="178"/>
      <c r="F361" s="178"/>
      <c r="G361" s="178"/>
      <c r="H361" s="178"/>
    </row>
    <row r="362" spans="1:8" ht="12.75">
      <c r="A362" s="178"/>
      <c r="B362" s="178"/>
      <c r="C362" s="178"/>
      <c r="D362" s="178"/>
      <c r="E362" s="178"/>
      <c r="F362" s="178"/>
      <c r="G362" s="178"/>
      <c r="H362" s="178"/>
    </row>
    <row r="363" spans="1:8" ht="12.75">
      <c r="A363" s="178"/>
      <c r="B363" s="178"/>
      <c r="C363" s="178"/>
      <c r="D363" s="178"/>
      <c r="E363" s="178"/>
      <c r="F363" s="178"/>
      <c r="G363" s="178"/>
      <c r="H363" s="178"/>
    </row>
    <row r="364" spans="1:8" ht="12.75">
      <c r="A364" s="178"/>
      <c r="B364" s="178"/>
      <c r="C364" s="178"/>
      <c r="D364" s="178"/>
      <c r="E364" s="178"/>
      <c r="F364" s="178"/>
      <c r="G364" s="178"/>
      <c r="H364" s="178"/>
    </row>
    <row r="365" spans="1:8" ht="12.75">
      <c r="A365" s="178"/>
      <c r="B365" s="178"/>
      <c r="C365" s="178"/>
      <c r="D365" s="178"/>
      <c r="E365" s="178"/>
      <c r="F365" s="178"/>
      <c r="G365" s="178"/>
      <c r="H365" s="178"/>
    </row>
    <row r="366" spans="1:8" ht="12.75">
      <c r="A366" s="178"/>
      <c r="B366" s="178"/>
      <c r="C366" s="178"/>
      <c r="D366" s="178"/>
      <c r="E366" s="178"/>
      <c r="F366" s="178"/>
      <c r="G366" s="178"/>
      <c r="H366" s="178"/>
    </row>
    <row r="367" spans="1:8" ht="12.75">
      <c r="A367" s="178"/>
      <c r="B367" s="178"/>
      <c r="C367" s="178"/>
      <c r="D367" s="178"/>
      <c r="E367" s="178"/>
      <c r="F367" s="178"/>
      <c r="G367" s="178"/>
      <c r="H367" s="178"/>
    </row>
    <row r="368" spans="1:8" ht="12.75">
      <c r="A368" s="178"/>
      <c r="B368" s="178"/>
      <c r="C368" s="178"/>
      <c r="D368" s="178"/>
      <c r="E368" s="178"/>
      <c r="F368" s="178"/>
      <c r="G368" s="178"/>
      <c r="H368" s="178"/>
    </row>
    <row r="369" spans="1:8" ht="12.75">
      <c r="A369" s="178"/>
      <c r="B369" s="178"/>
      <c r="C369" s="178"/>
      <c r="D369" s="178"/>
      <c r="E369" s="178"/>
      <c r="F369" s="178"/>
      <c r="G369" s="178"/>
      <c r="H369" s="178"/>
    </row>
    <row r="370" spans="1:8" ht="12.75">
      <c r="A370" s="178"/>
      <c r="B370" s="178"/>
      <c r="C370" s="178"/>
      <c r="D370" s="178"/>
      <c r="E370" s="178"/>
      <c r="F370" s="178"/>
      <c r="G370" s="178"/>
      <c r="H370" s="178"/>
    </row>
    <row r="371" spans="1:8" ht="12.75">
      <c r="A371" s="178"/>
      <c r="B371" s="178"/>
      <c r="C371" s="178"/>
      <c r="D371" s="178"/>
      <c r="E371" s="178"/>
      <c r="F371" s="178"/>
      <c r="G371" s="178"/>
      <c r="H371" s="178"/>
    </row>
    <row r="372" spans="1:8" ht="12.75">
      <c r="A372" s="178"/>
      <c r="B372" s="178"/>
      <c r="C372" s="178"/>
      <c r="D372" s="178"/>
      <c r="E372" s="178"/>
      <c r="F372" s="178"/>
      <c r="G372" s="178"/>
      <c r="H372" s="178"/>
    </row>
    <row r="373" spans="1:8" ht="12.75">
      <c r="A373" s="178"/>
      <c r="B373" s="178"/>
      <c r="C373" s="178"/>
      <c r="D373" s="178"/>
      <c r="E373" s="178"/>
      <c r="F373" s="178"/>
      <c r="G373" s="178"/>
      <c r="H373" s="178"/>
    </row>
    <row r="374" spans="1:8" ht="12.75">
      <c r="A374" s="178"/>
      <c r="B374" s="178"/>
      <c r="C374" s="178"/>
      <c r="D374" s="178"/>
      <c r="E374" s="178"/>
      <c r="F374" s="178"/>
      <c r="G374" s="178"/>
      <c r="H374" s="178"/>
    </row>
    <row r="375" spans="1:8" ht="12.75">
      <c r="A375" s="178"/>
      <c r="B375" s="178"/>
      <c r="C375" s="178"/>
      <c r="D375" s="178"/>
      <c r="E375" s="178"/>
      <c r="F375" s="178"/>
      <c r="G375" s="178"/>
      <c r="H375" s="178"/>
    </row>
    <row r="376" spans="1:8" ht="12.75">
      <c r="A376" s="178"/>
      <c r="B376" s="178"/>
      <c r="C376" s="178"/>
      <c r="D376" s="178"/>
      <c r="E376" s="178"/>
      <c r="F376" s="178"/>
      <c r="G376" s="178"/>
      <c r="H376" s="178"/>
    </row>
    <row r="377" spans="1:8" ht="12.75">
      <c r="A377" s="178"/>
      <c r="B377" s="178"/>
      <c r="C377" s="178"/>
      <c r="D377" s="178"/>
      <c r="E377" s="178"/>
      <c r="F377" s="178"/>
      <c r="G377" s="178"/>
      <c r="H377" s="178"/>
    </row>
    <row r="378" spans="1:8" ht="12.75">
      <c r="A378" s="178"/>
      <c r="B378" s="178"/>
      <c r="C378" s="178"/>
      <c r="D378" s="178"/>
      <c r="E378" s="178"/>
      <c r="F378" s="178"/>
      <c r="G378" s="178"/>
      <c r="H378" s="178"/>
    </row>
    <row r="379" spans="1:8" ht="12.75">
      <c r="A379" s="178"/>
      <c r="B379" s="178"/>
      <c r="C379" s="178"/>
      <c r="D379" s="178"/>
      <c r="E379" s="178"/>
      <c r="F379" s="178"/>
      <c r="G379" s="178"/>
      <c r="H379" s="178"/>
    </row>
    <row r="380" spans="1:8" ht="12.75">
      <c r="A380" s="178"/>
      <c r="B380" s="178"/>
      <c r="C380" s="178"/>
      <c r="D380" s="178"/>
      <c r="E380" s="178"/>
      <c r="F380" s="178"/>
      <c r="G380" s="178"/>
      <c r="H380" s="178"/>
    </row>
    <row r="381" spans="1:8" ht="12.75">
      <c r="A381" s="178"/>
      <c r="B381" s="178"/>
      <c r="C381" s="178"/>
      <c r="D381" s="178"/>
      <c r="E381" s="178"/>
      <c r="F381" s="178"/>
      <c r="G381" s="178"/>
      <c r="H381" s="178"/>
    </row>
    <row r="382" spans="1:8" ht="12.75">
      <c r="A382" s="178"/>
      <c r="B382" s="178"/>
      <c r="C382" s="178"/>
      <c r="D382" s="178"/>
      <c r="E382" s="178"/>
      <c r="F382" s="178"/>
      <c r="G382" s="178"/>
      <c r="H382" s="178"/>
    </row>
    <row r="383" spans="1:8" ht="12.75">
      <c r="A383" s="178"/>
      <c r="B383" s="178"/>
      <c r="C383" s="178"/>
      <c r="D383" s="178"/>
      <c r="E383" s="178"/>
      <c r="F383" s="178"/>
      <c r="G383" s="178"/>
      <c r="H383" s="178"/>
    </row>
    <row r="384" spans="1:8" ht="12.75">
      <c r="A384" s="178"/>
      <c r="B384" s="178"/>
      <c r="C384" s="178"/>
      <c r="D384" s="178"/>
      <c r="E384" s="178"/>
      <c r="F384" s="178"/>
      <c r="G384" s="178"/>
      <c r="H384" s="178"/>
    </row>
    <row r="385" spans="1:8" ht="12.75">
      <c r="A385" s="178"/>
      <c r="B385" s="178"/>
      <c r="C385" s="178"/>
      <c r="D385" s="178"/>
      <c r="E385" s="178"/>
      <c r="F385" s="178"/>
      <c r="G385" s="178"/>
      <c r="H385" s="178"/>
    </row>
    <row r="386" spans="1:8" ht="12.75">
      <c r="A386" s="178"/>
      <c r="B386" s="178"/>
      <c r="C386" s="178"/>
      <c r="D386" s="178"/>
      <c r="E386" s="178"/>
      <c r="F386" s="178"/>
      <c r="G386" s="178"/>
      <c r="H386" s="178"/>
    </row>
    <row r="387" spans="1:8" ht="12.75">
      <c r="A387" s="178"/>
      <c r="B387" s="178"/>
      <c r="C387" s="178"/>
      <c r="D387" s="178"/>
      <c r="E387" s="178"/>
      <c r="F387" s="178"/>
      <c r="G387" s="178"/>
      <c r="H387" s="178"/>
    </row>
    <row r="388" spans="1:8" ht="12.75">
      <c r="A388" s="178"/>
      <c r="B388" s="178"/>
      <c r="C388" s="178"/>
      <c r="D388" s="178"/>
      <c r="E388" s="178"/>
      <c r="F388" s="178"/>
      <c r="G388" s="178"/>
      <c r="H388" s="178"/>
    </row>
    <row r="389" spans="1:8" ht="12.75">
      <c r="A389" s="178"/>
      <c r="B389" s="178"/>
      <c r="C389" s="178"/>
      <c r="D389" s="178"/>
      <c r="E389" s="178"/>
      <c r="F389" s="178"/>
      <c r="G389" s="178"/>
      <c r="H389" s="178"/>
    </row>
    <row r="390" spans="1:8" ht="12.75">
      <c r="A390" s="178"/>
      <c r="B390" s="178"/>
      <c r="C390" s="178"/>
      <c r="D390" s="178"/>
      <c r="E390" s="178"/>
      <c r="F390" s="178"/>
      <c r="G390" s="178"/>
      <c r="H390" s="178"/>
    </row>
    <row r="391" spans="1:8" ht="12.75">
      <c r="A391" s="178"/>
      <c r="B391" s="178"/>
      <c r="C391" s="178"/>
      <c r="D391" s="178"/>
      <c r="E391" s="178"/>
      <c r="F391" s="178"/>
      <c r="G391" s="178"/>
      <c r="H391" s="178"/>
    </row>
    <row r="392" spans="1:8" ht="12.75">
      <c r="A392" s="178"/>
      <c r="B392" s="178"/>
      <c r="C392" s="178"/>
      <c r="D392" s="178"/>
      <c r="E392" s="178"/>
      <c r="F392" s="178"/>
      <c r="G392" s="178"/>
      <c r="H392" s="178"/>
    </row>
    <row r="393" spans="1:8" ht="12.75">
      <c r="A393" s="178"/>
      <c r="B393" s="178"/>
      <c r="C393" s="178"/>
      <c r="D393" s="178"/>
      <c r="E393" s="178"/>
      <c r="F393" s="178"/>
      <c r="G393" s="178"/>
      <c r="H393" s="178"/>
    </row>
    <row r="394" spans="1:8" ht="12.75">
      <c r="A394" s="178"/>
      <c r="B394" s="178"/>
      <c r="C394" s="178"/>
      <c r="D394" s="178"/>
      <c r="E394" s="178"/>
      <c r="F394" s="178"/>
      <c r="G394" s="178"/>
      <c r="H394" s="178"/>
    </row>
    <row r="395" spans="1:8" ht="12.75">
      <c r="A395" s="178"/>
      <c r="B395" s="178"/>
      <c r="C395" s="178"/>
      <c r="D395" s="178"/>
      <c r="E395" s="178"/>
      <c r="F395" s="178"/>
      <c r="G395" s="178"/>
      <c r="H395" s="178"/>
    </row>
    <row r="396" spans="1:8" ht="12.75">
      <c r="A396" s="178"/>
      <c r="B396" s="178"/>
      <c r="C396" s="178"/>
      <c r="D396" s="178"/>
      <c r="E396" s="178"/>
      <c r="F396" s="178"/>
      <c r="G396" s="178"/>
      <c r="H396" s="178"/>
    </row>
    <row r="397" spans="1:8" ht="12.75">
      <c r="A397" s="178"/>
      <c r="B397" s="178"/>
      <c r="C397" s="178"/>
      <c r="D397" s="178"/>
      <c r="E397" s="178"/>
      <c r="F397" s="178"/>
      <c r="G397" s="178"/>
      <c r="H397" s="178"/>
    </row>
    <row r="398" spans="1:8" ht="12.75">
      <c r="A398" s="178"/>
      <c r="B398" s="178"/>
      <c r="C398" s="178"/>
      <c r="D398" s="178"/>
      <c r="E398" s="178"/>
      <c r="F398" s="178"/>
      <c r="G398" s="178"/>
      <c r="H398" s="178"/>
    </row>
    <row r="399" spans="1:8" ht="12.75">
      <c r="A399" s="178"/>
      <c r="B399" s="178"/>
      <c r="C399" s="178"/>
      <c r="D399" s="178"/>
      <c r="E399" s="178"/>
      <c r="F399" s="178"/>
      <c r="G399" s="178"/>
      <c r="H399" s="178"/>
    </row>
    <row r="400" spans="1:8" ht="12.75">
      <c r="A400" s="178"/>
      <c r="B400" s="178"/>
      <c r="C400" s="178"/>
      <c r="D400" s="178"/>
      <c r="E400" s="178"/>
      <c r="F400" s="178"/>
      <c r="G400" s="178"/>
      <c r="H400" s="178"/>
    </row>
    <row r="401" spans="1:8" ht="12.75">
      <c r="A401" s="178"/>
      <c r="B401" s="178"/>
      <c r="C401" s="178"/>
      <c r="D401" s="178"/>
      <c r="E401" s="178"/>
      <c r="F401" s="178"/>
      <c r="G401" s="178"/>
      <c r="H401" s="178"/>
    </row>
    <row r="402" spans="1:8" ht="12.75">
      <c r="A402" s="178"/>
      <c r="B402" s="178"/>
      <c r="C402" s="178"/>
      <c r="D402" s="178"/>
      <c r="E402" s="178"/>
      <c r="F402" s="178"/>
      <c r="G402" s="178"/>
      <c r="H402" s="178"/>
    </row>
    <row r="403" spans="1:8" ht="12.75">
      <c r="A403" s="178"/>
      <c r="B403" s="178"/>
      <c r="C403" s="178"/>
      <c r="D403" s="178"/>
      <c r="E403" s="178"/>
      <c r="F403" s="178"/>
      <c r="G403" s="178"/>
      <c r="H403" s="178"/>
    </row>
    <row r="404" spans="1:8" ht="12.75">
      <c r="A404" s="178"/>
      <c r="B404" s="178"/>
      <c r="C404" s="178"/>
      <c r="D404" s="178"/>
      <c r="E404" s="178"/>
      <c r="F404" s="178"/>
      <c r="G404" s="178"/>
      <c r="H404" s="178"/>
    </row>
    <row r="405" spans="1:8" ht="12.75">
      <c r="A405" s="178"/>
      <c r="B405" s="178"/>
      <c r="C405" s="178"/>
      <c r="D405" s="178"/>
      <c r="E405" s="178"/>
      <c r="F405" s="178"/>
      <c r="G405" s="178"/>
      <c r="H405" s="178"/>
    </row>
    <row r="406" spans="1:8" ht="12.75">
      <c r="A406" s="178"/>
      <c r="B406" s="178"/>
      <c r="C406" s="178"/>
      <c r="D406" s="178"/>
      <c r="E406" s="178"/>
      <c r="F406" s="178"/>
      <c r="G406" s="178"/>
      <c r="H406" s="178"/>
    </row>
    <row r="407" spans="1:8" ht="12.75">
      <c r="A407" s="178"/>
      <c r="B407" s="178"/>
      <c r="C407" s="178"/>
      <c r="D407" s="178"/>
      <c r="E407" s="178"/>
      <c r="F407" s="178"/>
      <c r="G407" s="178"/>
      <c r="H407" s="178"/>
    </row>
    <row r="408" spans="1:8" ht="12.75">
      <c r="A408" s="178"/>
      <c r="B408" s="178"/>
      <c r="C408" s="178"/>
      <c r="D408" s="178"/>
      <c r="E408" s="178"/>
      <c r="F408" s="178"/>
      <c r="G408" s="178"/>
      <c r="H408" s="178"/>
    </row>
    <row r="409" spans="1:8" ht="12.75">
      <c r="A409" s="178"/>
      <c r="B409" s="178"/>
      <c r="C409" s="178"/>
      <c r="D409" s="178"/>
      <c r="E409" s="178"/>
      <c r="F409" s="178"/>
      <c r="G409" s="178"/>
      <c r="H409" s="178"/>
    </row>
    <row r="410" spans="1:8" ht="12.75">
      <c r="A410" s="178"/>
      <c r="B410" s="178"/>
      <c r="C410" s="178"/>
      <c r="D410" s="178"/>
      <c r="E410" s="178"/>
      <c r="F410" s="178"/>
      <c r="G410" s="178"/>
      <c r="H410" s="178"/>
    </row>
    <row r="411" spans="1:8" ht="12.75">
      <c r="A411" s="178"/>
      <c r="B411" s="178"/>
      <c r="C411" s="178"/>
      <c r="D411" s="178"/>
      <c r="E411" s="178"/>
      <c r="F411" s="178"/>
      <c r="G411" s="178"/>
      <c r="H411" s="178"/>
    </row>
    <row r="412" spans="1:8" ht="12.75">
      <c r="A412" s="178"/>
      <c r="B412" s="178"/>
      <c r="C412" s="178"/>
      <c r="D412" s="178"/>
      <c r="E412" s="178"/>
      <c r="F412" s="178"/>
      <c r="G412" s="178"/>
      <c r="H412" s="178"/>
    </row>
    <row r="413" spans="1:8" ht="12.75">
      <c r="A413" s="178"/>
      <c r="B413" s="178"/>
      <c r="C413" s="178"/>
      <c r="D413" s="178"/>
      <c r="E413" s="178"/>
      <c r="F413" s="178"/>
      <c r="G413" s="178"/>
      <c r="H413" s="178"/>
    </row>
    <row r="414" spans="1:8" ht="12.75">
      <c r="A414" s="178"/>
      <c r="B414" s="178"/>
      <c r="C414" s="178"/>
      <c r="D414" s="178"/>
      <c r="E414" s="178"/>
      <c r="F414" s="178"/>
      <c r="G414" s="178"/>
      <c r="H414" s="178"/>
    </row>
    <row r="415" spans="1:8" ht="12.75">
      <c r="A415" s="178"/>
      <c r="B415" s="178"/>
      <c r="C415" s="178"/>
      <c r="D415" s="178"/>
      <c r="E415" s="178"/>
      <c r="F415" s="178"/>
      <c r="G415" s="178"/>
      <c r="H415" s="178"/>
    </row>
    <row r="416" spans="1:8" ht="12.75">
      <c r="A416" s="178"/>
      <c r="B416" s="178"/>
      <c r="C416" s="178"/>
      <c r="D416" s="178"/>
      <c r="E416" s="178"/>
      <c r="F416" s="178"/>
      <c r="G416" s="178"/>
      <c r="H416" s="178"/>
    </row>
    <row r="417" spans="1:8" ht="12.75">
      <c r="A417" s="178"/>
      <c r="B417" s="178"/>
      <c r="C417" s="178"/>
      <c r="D417" s="178"/>
      <c r="E417" s="178"/>
      <c r="F417" s="178"/>
      <c r="G417" s="178"/>
      <c r="H417" s="178"/>
    </row>
    <row r="418" spans="1:8" ht="12.75">
      <c r="A418" s="178"/>
      <c r="B418" s="178"/>
      <c r="C418" s="178"/>
      <c r="D418" s="178"/>
      <c r="E418" s="178"/>
      <c r="F418" s="178"/>
      <c r="G418" s="178"/>
      <c r="H418" s="178"/>
    </row>
    <row r="419" spans="1:8" ht="12.75">
      <c r="A419" s="178"/>
      <c r="B419" s="178"/>
      <c r="C419" s="178"/>
      <c r="D419" s="178"/>
      <c r="E419" s="178"/>
      <c r="F419" s="178"/>
      <c r="G419" s="178"/>
      <c r="H419" s="178"/>
    </row>
    <row r="420" spans="1:8" ht="12.75">
      <c r="A420" s="178"/>
      <c r="B420" s="178"/>
      <c r="C420" s="178"/>
      <c r="D420" s="178"/>
      <c r="E420" s="178"/>
      <c r="F420" s="178"/>
      <c r="G420" s="178"/>
      <c r="H420" s="178"/>
    </row>
    <row r="421" spans="1:8" ht="12.75">
      <c r="A421" s="178"/>
      <c r="B421" s="178"/>
      <c r="C421" s="178"/>
      <c r="D421" s="178"/>
      <c r="E421" s="178"/>
      <c r="F421" s="178"/>
      <c r="G421" s="178"/>
      <c r="H421" s="178"/>
    </row>
    <row r="422" spans="1:8" ht="12.75">
      <c r="A422" s="178"/>
      <c r="B422" s="178"/>
      <c r="C422" s="178"/>
      <c r="D422" s="178"/>
      <c r="E422" s="178"/>
      <c r="F422" s="178"/>
      <c r="G422" s="178"/>
      <c r="H422" s="178"/>
    </row>
    <row r="423" spans="1:8" ht="12.75">
      <c r="A423" s="178"/>
      <c r="B423" s="178"/>
      <c r="C423" s="178"/>
      <c r="D423" s="178"/>
      <c r="E423" s="178"/>
      <c r="F423" s="178"/>
      <c r="G423" s="178"/>
      <c r="H423" s="178"/>
    </row>
    <row r="424" spans="1:8" ht="12.75">
      <c r="A424" s="178"/>
      <c r="B424" s="178"/>
      <c r="C424" s="178"/>
      <c r="D424" s="178"/>
      <c r="E424" s="178"/>
      <c r="F424" s="178"/>
      <c r="G424" s="178"/>
      <c r="H424" s="178"/>
    </row>
    <row r="425" spans="1:8" ht="12.75">
      <c r="A425" s="178"/>
      <c r="B425" s="178"/>
      <c r="C425" s="178"/>
      <c r="D425" s="178"/>
      <c r="E425" s="178"/>
      <c r="F425" s="178"/>
      <c r="G425" s="178"/>
      <c r="H425" s="178"/>
    </row>
    <row r="426" spans="1:8" ht="12.75">
      <c r="A426" s="178"/>
      <c r="B426" s="178"/>
      <c r="C426" s="178"/>
      <c r="D426" s="178"/>
      <c r="E426" s="178"/>
      <c r="F426" s="178"/>
      <c r="G426" s="178"/>
      <c r="H426" s="178"/>
    </row>
    <row r="427" spans="1:8" ht="12.75">
      <c r="A427" s="178"/>
      <c r="B427" s="178"/>
      <c r="C427" s="178"/>
      <c r="D427" s="178"/>
      <c r="E427" s="178"/>
      <c r="F427" s="178"/>
      <c r="G427" s="178"/>
      <c r="H427" s="178"/>
    </row>
    <row r="428" spans="1:8" ht="12.75">
      <c r="A428" s="178"/>
      <c r="B428" s="178"/>
      <c r="C428" s="178"/>
      <c r="D428" s="178"/>
      <c r="E428" s="178"/>
      <c r="F428" s="178"/>
      <c r="G428" s="178"/>
      <c r="H428" s="178"/>
    </row>
    <row r="429" spans="1:8" ht="12.75">
      <c r="A429" s="178"/>
      <c r="B429" s="178"/>
      <c r="C429" s="178"/>
      <c r="D429" s="178"/>
      <c r="E429" s="178"/>
      <c r="F429" s="178"/>
      <c r="G429" s="178"/>
      <c r="H429" s="178"/>
    </row>
    <row r="430" spans="1:8" ht="12.75">
      <c r="A430" s="178"/>
      <c r="B430" s="178"/>
      <c r="C430" s="178"/>
      <c r="D430" s="178"/>
      <c r="E430" s="178"/>
      <c r="F430" s="178"/>
      <c r="G430" s="178"/>
      <c r="H430" s="178"/>
    </row>
    <row r="431" spans="1:8" ht="12.75">
      <c r="A431" s="178"/>
      <c r="B431" s="178"/>
      <c r="C431" s="178"/>
      <c r="D431" s="178"/>
      <c r="E431" s="178"/>
      <c r="F431" s="178"/>
      <c r="G431" s="178"/>
      <c r="H431" s="178"/>
    </row>
    <row r="432" spans="1:8" ht="12.75">
      <c r="A432" s="178"/>
      <c r="B432" s="178"/>
      <c r="C432" s="178"/>
      <c r="D432" s="178"/>
      <c r="E432" s="178"/>
      <c r="F432" s="178"/>
      <c r="G432" s="178"/>
      <c r="H432" s="178"/>
    </row>
    <row r="433" spans="1:8" ht="12.75">
      <c r="A433" s="178"/>
      <c r="B433" s="178"/>
      <c r="C433" s="178"/>
      <c r="D433" s="178"/>
      <c r="E433" s="178"/>
      <c r="F433" s="178"/>
      <c r="G433" s="178"/>
      <c r="H433" s="178"/>
    </row>
    <row r="434" spans="1:8" ht="12.75">
      <c r="A434" s="178"/>
      <c r="B434" s="178"/>
      <c r="C434" s="178"/>
      <c r="D434" s="178"/>
      <c r="E434" s="178"/>
      <c r="F434" s="178"/>
      <c r="G434" s="178"/>
      <c r="H434" s="178"/>
    </row>
    <row r="435" spans="1:8" ht="12.75">
      <c r="A435" s="178"/>
      <c r="B435" s="178"/>
      <c r="C435" s="178"/>
      <c r="D435" s="178"/>
      <c r="E435" s="178"/>
      <c r="F435" s="178"/>
      <c r="G435" s="178"/>
      <c r="H435" s="178"/>
    </row>
    <row r="436" spans="1:8" ht="12.75">
      <c r="A436" s="178"/>
      <c r="B436" s="178"/>
      <c r="C436" s="178"/>
      <c r="D436" s="178"/>
      <c r="E436" s="178"/>
      <c r="F436" s="178"/>
      <c r="G436" s="178"/>
      <c r="H436" s="178"/>
    </row>
    <row r="437" spans="1:8" ht="12.75">
      <c r="A437" s="178"/>
      <c r="B437" s="178"/>
      <c r="C437" s="178"/>
      <c r="D437" s="178"/>
      <c r="E437" s="178"/>
      <c r="F437" s="178"/>
      <c r="G437" s="178"/>
      <c r="H437" s="178"/>
    </row>
    <row r="438" spans="1:8" ht="12.75">
      <c r="A438" s="178"/>
      <c r="B438" s="178"/>
      <c r="C438" s="178"/>
      <c r="D438" s="178"/>
      <c r="E438" s="178"/>
      <c r="F438" s="178"/>
      <c r="G438" s="178"/>
      <c r="H438" s="178"/>
    </row>
    <row r="439" spans="1:8" ht="12.75">
      <c r="A439" s="178"/>
      <c r="B439" s="178"/>
      <c r="C439" s="178"/>
      <c r="D439" s="178"/>
      <c r="E439" s="178"/>
      <c r="F439" s="178"/>
      <c r="G439" s="178"/>
      <c r="H439" s="178"/>
    </row>
    <row r="440" spans="1:8" ht="12.75">
      <c r="A440" s="178"/>
      <c r="B440" s="178"/>
      <c r="C440" s="178"/>
      <c r="D440" s="178"/>
      <c r="E440" s="178"/>
      <c r="F440" s="178"/>
      <c r="G440" s="178"/>
      <c r="H440" s="178"/>
    </row>
    <row r="441" spans="1:8" ht="12.75">
      <c r="A441" s="178"/>
      <c r="B441" s="178"/>
      <c r="C441" s="178"/>
      <c r="D441" s="178"/>
      <c r="E441" s="178"/>
      <c r="F441" s="178"/>
      <c r="G441" s="178"/>
      <c r="H441" s="178"/>
    </row>
    <row r="442" spans="1:8" ht="12.75">
      <c r="A442" s="178"/>
      <c r="B442" s="178"/>
      <c r="C442" s="178"/>
      <c r="D442" s="178"/>
      <c r="E442" s="178"/>
      <c r="F442" s="178"/>
      <c r="G442" s="178"/>
      <c r="H442" s="178"/>
    </row>
    <row r="443" spans="1:8" ht="12.75">
      <c r="A443" s="178"/>
      <c r="B443" s="178"/>
      <c r="C443" s="178"/>
      <c r="D443" s="178"/>
      <c r="E443" s="178"/>
      <c r="F443" s="178"/>
      <c r="G443" s="178"/>
      <c r="H443" s="178"/>
    </row>
    <row r="444" spans="1:8" ht="12.75">
      <c r="A444" s="178"/>
      <c r="B444" s="178"/>
      <c r="C444" s="178"/>
      <c r="D444" s="178"/>
      <c r="E444" s="178"/>
      <c r="F444" s="178"/>
      <c r="G444" s="178"/>
      <c r="H444" s="178"/>
    </row>
    <row r="445" spans="1:8" ht="12.75">
      <c r="A445" s="178"/>
      <c r="B445" s="178"/>
      <c r="C445" s="178"/>
      <c r="D445" s="178"/>
      <c r="E445" s="178"/>
      <c r="F445" s="178"/>
      <c r="G445" s="178"/>
      <c r="H445" s="178"/>
    </row>
    <row r="446" spans="1:8" ht="12.75">
      <c r="A446" s="178"/>
      <c r="B446" s="178"/>
      <c r="C446" s="178"/>
      <c r="D446" s="178"/>
      <c r="E446" s="178"/>
      <c r="F446" s="178"/>
      <c r="G446" s="178"/>
      <c r="H446" s="178"/>
    </row>
    <row r="447" spans="1:8" ht="12.75">
      <c r="A447" s="178"/>
      <c r="B447" s="178"/>
      <c r="C447" s="178"/>
      <c r="D447" s="178"/>
      <c r="E447" s="178"/>
      <c r="F447" s="178"/>
      <c r="G447" s="178"/>
      <c r="H447" s="178"/>
    </row>
    <row r="448" spans="1:8" ht="12.75">
      <c r="A448" s="178"/>
      <c r="B448" s="178"/>
      <c r="C448" s="178"/>
      <c r="D448" s="178"/>
      <c r="E448" s="178"/>
      <c r="F448" s="178"/>
      <c r="G448" s="178"/>
      <c r="H448" s="178"/>
    </row>
    <row r="449" spans="1:8" ht="12.75">
      <c r="A449" s="178"/>
      <c r="B449" s="178"/>
      <c r="C449" s="178"/>
      <c r="D449" s="178"/>
      <c r="E449" s="178"/>
      <c r="F449" s="178"/>
      <c r="G449" s="178"/>
      <c r="H449" s="178"/>
    </row>
    <row r="450" spans="1:8" ht="12.75">
      <c r="A450" s="178"/>
      <c r="B450" s="178"/>
      <c r="C450" s="178"/>
      <c r="D450" s="178"/>
      <c r="E450" s="178"/>
      <c r="F450" s="178"/>
      <c r="G450" s="178"/>
      <c r="H450" s="178"/>
    </row>
    <row r="451" spans="1:8" ht="12.75">
      <c r="A451" s="178"/>
      <c r="B451" s="178"/>
      <c r="C451" s="178"/>
      <c r="D451" s="178"/>
      <c r="E451" s="178"/>
      <c r="F451" s="178"/>
      <c r="G451" s="178"/>
      <c r="H451" s="178"/>
    </row>
    <row r="452" spans="1:8" ht="12.75">
      <c r="A452" s="178"/>
      <c r="B452" s="178"/>
      <c r="C452" s="178"/>
      <c r="D452" s="178"/>
      <c r="E452" s="178"/>
      <c r="F452" s="178"/>
      <c r="G452" s="178"/>
      <c r="H452" s="178"/>
    </row>
    <row r="453" spans="1:8" ht="12.75">
      <c r="A453" s="178"/>
      <c r="B453" s="178"/>
      <c r="C453" s="178"/>
      <c r="D453" s="178"/>
      <c r="E453" s="178"/>
      <c r="F453" s="178"/>
      <c r="G453" s="178"/>
      <c r="H453" s="178"/>
    </row>
    <row r="454" spans="1:8" ht="12.75">
      <c r="A454" s="178"/>
      <c r="B454" s="178"/>
      <c r="C454" s="178"/>
      <c r="D454" s="178"/>
      <c r="E454" s="178"/>
      <c r="F454" s="178"/>
      <c r="G454" s="178"/>
      <c r="H454" s="178"/>
    </row>
    <row r="455" spans="1:8" ht="12.75">
      <c r="A455" s="178"/>
      <c r="B455" s="178"/>
      <c r="C455" s="178"/>
      <c r="D455" s="178"/>
      <c r="E455" s="178"/>
      <c r="F455" s="178"/>
      <c r="G455" s="178"/>
      <c r="H455" s="178"/>
    </row>
    <row r="456" spans="1:8" ht="12.75">
      <c r="A456" s="178"/>
      <c r="B456" s="178"/>
      <c r="C456" s="178"/>
      <c r="D456" s="178"/>
      <c r="E456" s="178"/>
      <c r="F456" s="178"/>
      <c r="G456" s="178"/>
      <c r="H456" s="178"/>
    </row>
    <row r="457" spans="1:8" ht="12.75">
      <c r="A457" s="178"/>
      <c r="B457" s="178"/>
      <c r="C457" s="178"/>
      <c r="D457" s="178"/>
      <c r="E457" s="178"/>
      <c r="F457" s="178"/>
      <c r="G457" s="178"/>
      <c r="H457" s="178"/>
    </row>
    <row r="458" spans="1:8" ht="12.75">
      <c r="A458" s="178"/>
      <c r="B458" s="178"/>
      <c r="C458" s="178"/>
      <c r="D458" s="178"/>
      <c r="E458" s="178"/>
      <c r="F458" s="178"/>
      <c r="G458" s="178"/>
      <c r="H458" s="178"/>
    </row>
    <row r="459" spans="1:8" ht="12.75">
      <c r="A459" s="178"/>
      <c r="B459" s="178"/>
      <c r="C459" s="178"/>
      <c r="D459" s="178"/>
      <c r="E459" s="178"/>
      <c r="F459" s="178"/>
      <c r="G459" s="178"/>
      <c r="H459" s="178"/>
    </row>
    <row r="460" spans="1:8" ht="12.75">
      <c r="A460" s="178"/>
      <c r="B460" s="178"/>
      <c r="C460" s="178"/>
      <c r="D460" s="178"/>
      <c r="E460" s="178"/>
      <c r="F460" s="178"/>
      <c r="G460" s="178"/>
      <c r="H460" s="178"/>
    </row>
    <row r="461" spans="1:8" ht="12.75">
      <c r="A461" s="178"/>
      <c r="B461" s="178"/>
      <c r="C461" s="178"/>
      <c r="D461" s="178"/>
      <c r="E461" s="178"/>
      <c r="F461" s="178"/>
      <c r="G461" s="178"/>
      <c r="H461" s="178"/>
    </row>
    <row r="462" spans="1:8" ht="12.75">
      <c r="A462" s="178"/>
      <c r="B462" s="178"/>
      <c r="C462" s="178"/>
      <c r="D462" s="178"/>
      <c r="E462" s="178"/>
      <c r="F462" s="178"/>
      <c r="G462" s="178"/>
      <c r="H462" s="178"/>
    </row>
    <row r="463" spans="1:8" ht="12.75">
      <c r="A463" s="178"/>
      <c r="B463" s="178"/>
      <c r="C463" s="178"/>
      <c r="D463" s="178"/>
      <c r="E463" s="178"/>
      <c r="F463" s="178"/>
      <c r="G463" s="178"/>
      <c r="H463" s="178"/>
    </row>
    <row r="464" spans="1:8" ht="12.75">
      <c r="A464" s="178"/>
      <c r="B464" s="178"/>
      <c r="C464" s="178"/>
      <c r="D464" s="178"/>
      <c r="E464" s="178"/>
      <c r="F464" s="178"/>
      <c r="G464" s="178"/>
      <c r="H464" s="178"/>
    </row>
    <row r="465" spans="1:8" ht="12.75">
      <c r="A465" s="178"/>
      <c r="B465" s="178"/>
      <c r="C465" s="178"/>
      <c r="D465" s="178"/>
      <c r="E465" s="178"/>
      <c r="F465" s="178"/>
      <c r="G465" s="178"/>
      <c r="H465" s="178"/>
    </row>
    <row r="466" spans="1:8" ht="12.75">
      <c r="A466" s="178"/>
      <c r="B466" s="178"/>
      <c r="C466" s="178"/>
      <c r="D466" s="178"/>
      <c r="E466" s="178"/>
      <c r="F466" s="178"/>
      <c r="G466" s="178"/>
      <c r="H466" s="178"/>
    </row>
    <row r="467" spans="1:8" ht="12.75">
      <c r="A467" s="178"/>
      <c r="B467" s="178"/>
      <c r="C467" s="178"/>
      <c r="D467" s="178"/>
      <c r="E467" s="178"/>
      <c r="F467" s="178"/>
      <c r="G467" s="178"/>
      <c r="H467" s="178"/>
    </row>
    <row r="468" spans="1:8" ht="12.75">
      <c r="A468" s="178"/>
      <c r="B468" s="178"/>
      <c r="C468" s="178"/>
      <c r="D468" s="178"/>
      <c r="E468" s="178"/>
      <c r="F468" s="178"/>
      <c r="G468" s="178"/>
      <c r="H468" s="178"/>
    </row>
    <row r="469" spans="1:8" ht="12.75">
      <c r="A469" s="178"/>
      <c r="B469" s="178"/>
      <c r="C469" s="178"/>
      <c r="D469" s="178"/>
      <c r="E469" s="178"/>
      <c r="F469" s="178"/>
      <c r="G469" s="178"/>
      <c r="H469" s="178"/>
    </row>
    <row r="470" spans="1:8" ht="12.75">
      <c r="A470" s="178"/>
      <c r="B470" s="178"/>
      <c r="C470" s="178"/>
      <c r="D470" s="178"/>
      <c r="E470" s="178"/>
      <c r="F470" s="178"/>
      <c r="G470" s="178"/>
      <c r="H470" s="178"/>
    </row>
    <row r="471" spans="1:8" ht="12.75">
      <c r="A471" s="178"/>
      <c r="B471" s="178"/>
      <c r="C471" s="178"/>
      <c r="D471" s="178"/>
      <c r="E471" s="178"/>
      <c r="F471" s="178"/>
      <c r="G471" s="178"/>
      <c r="H471" s="178"/>
    </row>
    <row r="472" spans="1:8" ht="12.75">
      <c r="A472" s="178"/>
      <c r="B472" s="178"/>
      <c r="C472" s="178"/>
      <c r="D472" s="178"/>
      <c r="E472" s="178"/>
      <c r="F472" s="178"/>
      <c r="G472" s="178"/>
      <c r="H472" s="178"/>
    </row>
    <row r="473" spans="1:8" ht="12.75">
      <c r="A473" s="178"/>
      <c r="B473" s="178"/>
      <c r="C473" s="178"/>
      <c r="D473" s="178"/>
      <c r="E473" s="178"/>
      <c r="F473" s="178"/>
      <c r="G473" s="178"/>
      <c r="H473" s="178"/>
    </row>
    <row r="474" spans="1:8" ht="12.75">
      <c r="A474" s="178"/>
      <c r="B474" s="178"/>
      <c r="C474" s="178"/>
      <c r="D474" s="178"/>
      <c r="E474" s="178"/>
      <c r="F474" s="178"/>
      <c r="G474" s="178"/>
      <c r="H474" s="178"/>
    </row>
    <row r="475" spans="1:8" ht="12.75">
      <c r="A475" s="178"/>
      <c r="B475" s="178"/>
      <c r="C475" s="178"/>
      <c r="D475" s="178"/>
      <c r="E475" s="178"/>
      <c r="F475" s="178"/>
      <c r="G475" s="178"/>
      <c r="H475" s="178"/>
    </row>
    <row r="476" spans="1:8" ht="12.75">
      <c r="A476" s="178"/>
      <c r="B476" s="178"/>
      <c r="C476" s="178"/>
      <c r="D476" s="178"/>
      <c r="E476" s="178"/>
      <c r="F476" s="178"/>
      <c r="G476" s="178"/>
      <c r="H476" s="178"/>
    </row>
    <row r="477" spans="1:8" ht="12.75">
      <c r="A477" s="178"/>
      <c r="B477" s="178"/>
      <c r="C477" s="178"/>
      <c r="D477" s="178"/>
      <c r="E477" s="178"/>
      <c r="F477" s="178"/>
      <c r="G477" s="178"/>
      <c r="H477" s="178"/>
    </row>
    <row r="478" spans="1:8" ht="12.75">
      <c r="A478" s="178"/>
      <c r="B478" s="178"/>
      <c r="C478" s="178"/>
      <c r="D478" s="178"/>
      <c r="E478" s="178"/>
      <c r="F478" s="178"/>
      <c r="G478" s="178"/>
      <c r="H478" s="178"/>
    </row>
    <row r="479" spans="1:8" ht="12.75">
      <c r="A479" s="178"/>
      <c r="B479" s="178"/>
      <c r="C479" s="178"/>
      <c r="D479" s="178"/>
      <c r="E479" s="178"/>
      <c r="F479" s="178"/>
      <c r="G479" s="178"/>
      <c r="H479" s="178"/>
    </row>
    <row r="480" spans="1:8" ht="12.75">
      <c r="A480" s="178"/>
      <c r="B480" s="178"/>
      <c r="C480" s="178"/>
      <c r="D480" s="178"/>
      <c r="E480" s="178"/>
      <c r="F480" s="178"/>
      <c r="G480" s="178"/>
      <c r="H480" s="178"/>
    </row>
    <row r="481" spans="1:8" ht="12.75">
      <c r="A481" s="178"/>
      <c r="B481" s="178"/>
      <c r="C481" s="178"/>
      <c r="D481" s="178"/>
      <c r="E481" s="178"/>
      <c r="F481" s="178"/>
      <c r="G481" s="178"/>
      <c r="H481" s="178"/>
    </row>
    <row r="482" spans="1:8" ht="12.75">
      <c r="A482" s="178"/>
      <c r="B482" s="178"/>
      <c r="C482" s="178"/>
      <c r="D482" s="178"/>
      <c r="E482" s="178"/>
      <c r="F482" s="178"/>
      <c r="G482" s="178"/>
      <c r="H482" s="178"/>
    </row>
    <row r="483" spans="1:8" ht="12.75">
      <c r="A483" s="178"/>
      <c r="B483" s="178"/>
      <c r="C483" s="178"/>
      <c r="D483" s="178"/>
      <c r="E483" s="178"/>
      <c r="F483" s="178"/>
      <c r="G483" s="178"/>
      <c r="H483" s="178"/>
    </row>
    <row r="484" spans="1:8" ht="12.75">
      <c r="A484" s="178"/>
      <c r="B484" s="178"/>
      <c r="C484" s="178"/>
      <c r="D484" s="178"/>
      <c r="E484" s="178"/>
      <c r="F484" s="178"/>
      <c r="G484" s="178"/>
      <c r="H484" s="178"/>
    </row>
    <row r="485" spans="1:8" ht="12.75">
      <c r="A485" s="178"/>
      <c r="B485" s="178"/>
      <c r="C485" s="178"/>
      <c r="D485" s="178"/>
      <c r="E485" s="178"/>
      <c r="F485" s="178"/>
      <c r="G485" s="178"/>
      <c r="H485" s="178"/>
    </row>
    <row r="486" spans="1:8" ht="12.75">
      <c r="A486" s="178"/>
      <c r="B486" s="178"/>
      <c r="C486" s="178"/>
      <c r="D486" s="178"/>
      <c r="E486" s="178"/>
      <c r="F486" s="178"/>
      <c r="G486" s="178"/>
      <c r="H486" s="178"/>
    </row>
    <row r="487" spans="1:8" ht="12.75">
      <c r="A487" s="178"/>
      <c r="B487" s="178"/>
      <c r="C487" s="178"/>
      <c r="D487" s="178"/>
      <c r="E487" s="178"/>
      <c r="F487" s="178"/>
      <c r="G487" s="178"/>
      <c r="H487" s="178"/>
    </row>
    <row r="488" spans="1:8" ht="12.75">
      <c r="A488" s="178"/>
      <c r="B488" s="178"/>
      <c r="C488" s="178"/>
      <c r="D488" s="178"/>
      <c r="E488" s="178"/>
      <c r="F488" s="178"/>
      <c r="G488" s="178"/>
      <c r="H488" s="178"/>
    </row>
    <row r="489" spans="1:8" ht="12.75">
      <c r="A489" s="178"/>
      <c r="B489" s="178"/>
      <c r="C489" s="178"/>
      <c r="D489" s="178"/>
      <c r="E489" s="178"/>
      <c r="F489" s="178"/>
      <c r="G489" s="178"/>
      <c r="H489" s="178"/>
    </row>
    <row r="490" spans="1:8" ht="12.75">
      <c r="A490" s="178"/>
      <c r="B490" s="178"/>
      <c r="C490" s="178"/>
      <c r="D490" s="178"/>
      <c r="E490" s="178"/>
      <c r="F490" s="178"/>
      <c r="G490" s="178"/>
      <c r="H490" s="178"/>
    </row>
    <row r="491" spans="1:8" ht="12.75">
      <c r="A491" s="178"/>
      <c r="B491" s="178"/>
      <c r="C491" s="178"/>
      <c r="D491" s="178"/>
      <c r="E491" s="178"/>
      <c r="F491" s="178"/>
      <c r="G491" s="178"/>
      <c r="H491" s="178"/>
    </row>
    <row r="492" spans="1:8" ht="12.75">
      <c r="A492" s="178"/>
      <c r="B492" s="178"/>
      <c r="C492" s="178"/>
      <c r="D492" s="178"/>
      <c r="E492" s="178"/>
      <c r="F492" s="178"/>
      <c r="G492" s="178"/>
      <c r="H492" s="178"/>
    </row>
    <row r="493" spans="1:8" ht="12.75">
      <c r="A493" s="178"/>
      <c r="B493" s="178"/>
      <c r="C493" s="178"/>
      <c r="D493" s="178"/>
      <c r="E493" s="178"/>
      <c r="F493" s="178"/>
      <c r="G493" s="178"/>
      <c r="H493" s="178"/>
    </row>
    <row r="494" spans="1:8" ht="12.75">
      <c r="A494" s="178"/>
      <c r="B494" s="178"/>
      <c r="C494" s="178"/>
      <c r="D494" s="178"/>
      <c r="E494" s="178"/>
      <c r="F494" s="178"/>
      <c r="G494" s="178"/>
      <c r="H494" s="178"/>
    </row>
    <row r="495" spans="1:8" ht="12.75">
      <c r="A495" s="178"/>
      <c r="B495" s="178"/>
      <c r="C495" s="178"/>
      <c r="D495" s="178"/>
      <c r="E495" s="178"/>
      <c r="F495" s="178"/>
      <c r="G495" s="178"/>
      <c r="H495" s="178"/>
    </row>
    <row r="496" spans="1:8" ht="12.75">
      <c r="A496" s="178"/>
      <c r="B496" s="178"/>
      <c r="C496" s="178"/>
      <c r="D496" s="178"/>
      <c r="E496" s="178"/>
      <c r="F496" s="178"/>
      <c r="G496" s="178"/>
      <c r="H496" s="178"/>
    </row>
    <row r="497" spans="1:8" ht="12.75">
      <c r="A497" s="178"/>
      <c r="B497" s="178"/>
      <c r="C497" s="178"/>
      <c r="D497" s="178"/>
      <c r="E497" s="178"/>
      <c r="F497" s="178"/>
      <c r="G497" s="178"/>
      <c r="H497" s="178"/>
    </row>
    <row r="498" spans="1:8" ht="12.75">
      <c r="A498" s="178"/>
      <c r="B498" s="178"/>
      <c r="C498" s="178"/>
      <c r="D498" s="178"/>
      <c r="E498" s="178"/>
      <c r="F498" s="178"/>
      <c r="G498" s="178"/>
      <c r="H498" s="178"/>
    </row>
    <row r="499" spans="1:8" ht="12.75">
      <c r="A499" s="178"/>
      <c r="B499" s="178"/>
      <c r="C499" s="178"/>
      <c r="D499" s="178"/>
      <c r="E499" s="178"/>
      <c r="F499" s="178"/>
      <c r="G499" s="178"/>
      <c r="H499" s="178"/>
    </row>
    <row r="500" spans="1:8" ht="12.75">
      <c r="A500" s="178"/>
      <c r="B500" s="178"/>
      <c r="C500" s="178"/>
      <c r="D500" s="178"/>
      <c r="E500" s="178"/>
      <c r="F500" s="178"/>
      <c r="G500" s="178"/>
      <c r="H500" s="178"/>
    </row>
    <row r="501" spans="1:8" ht="12.75">
      <c r="A501" s="178"/>
      <c r="B501" s="178"/>
      <c r="C501" s="178"/>
      <c r="D501" s="178"/>
      <c r="E501" s="178"/>
      <c r="F501" s="178"/>
      <c r="G501" s="178"/>
      <c r="H501" s="178"/>
    </row>
    <row r="502" spans="1:8" ht="12.75">
      <c r="A502" s="178"/>
      <c r="B502" s="178"/>
      <c r="C502" s="178"/>
      <c r="D502" s="178"/>
      <c r="E502" s="178"/>
      <c r="F502" s="178"/>
      <c r="G502" s="178"/>
      <c r="H502" s="178"/>
    </row>
    <row r="503" spans="1:8" ht="12.75">
      <c r="A503" s="178"/>
      <c r="B503" s="178"/>
      <c r="C503" s="178"/>
      <c r="D503" s="178"/>
      <c r="E503" s="178"/>
      <c r="F503" s="178"/>
      <c r="G503" s="178"/>
      <c r="H503" s="178"/>
    </row>
    <row r="504" spans="1:8" ht="12.75">
      <c r="A504" s="178"/>
      <c r="B504" s="178"/>
      <c r="C504" s="178"/>
      <c r="D504" s="178"/>
      <c r="E504" s="178"/>
      <c r="F504" s="178"/>
      <c r="G504" s="178"/>
      <c r="H504" s="178"/>
    </row>
    <row r="505" spans="1:8" ht="12.75">
      <c r="A505" s="178"/>
      <c r="B505" s="178"/>
      <c r="C505" s="178"/>
      <c r="D505" s="178"/>
      <c r="E505" s="178"/>
      <c r="F505" s="178"/>
      <c r="G505" s="178"/>
      <c r="H505" s="178"/>
    </row>
    <row r="506" spans="1:8" ht="12.75">
      <c r="A506" s="178"/>
      <c r="B506" s="178"/>
      <c r="C506" s="178"/>
      <c r="D506" s="178"/>
      <c r="E506" s="178"/>
      <c r="F506" s="178"/>
      <c r="G506" s="178"/>
      <c r="H506" s="178"/>
    </row>
    <row r="507" spans="1:8" ht="12.75">
      <c r="A507" s="178"/>
      <c r="B507" s="178"/>
      <c r="C507" s="178"/>
      <c r="D507" s="178"/>
      <c r="E507" s="178"/>
      <c r="F507" s="178"/>
      <c r="G507" s="178"/>
      <c r="H507" s="178"/>
    </row>
    <row r="508" spans="1:8" ht="12.75">
      <c r="A508" s="178"/>
      <c r="B508" s="178"/>
      <c r="C508" s="178"/>
      <c r="D508" s="178"/>
      <c r="E508" s="178"/>
      <c r="F508" s="178"/>
      <c r="G508" s="178"/>
      <c r="H508" s="178"/>
    </row>
    <row r="509" spans="1:8" ht="12.75">
      <c r="A509" s="178"/>
      <c r="B509" s="178"/>
      <c r="C509" s="178"/>
      <c r="D509" s="178"/>
      <c r="E509" s="178"/>
      <c r="F509" s="178"/>
      <c r="G509" s="178"/>
      <c r="H509" s="178"/>
    </row>
    <row r="510" spans="1:8" ht="12.75">
      <c r="A510" s="178"/>
      <c r="B510" s="178"/>
      <c r="C510" s="178"/>
      <c r="D510" s="178"/>
      <c r="E510" s="178"/>
      <c r="F510" s="178"/>
      <c r="G510" s="178"/>
      <c r="H510" s="178"/>
    </row>
    <row r="511" spans="1:8" ht="12.75">
      <c r="A511" s="178"/>
      <c r="B511" s="178"/>
      <c r="C511" s="178"/>
      <c r="D511" s="178"/>
      <c r="E511" s="178"/>
      <c r="F511" s="178"/>
      <c r="G511" s="178"/>
      <c r="H511" s="178"/>
    </row>
    <row r="512" spans="1:8" ht="12.75">
      <c r="A512" s="178"/>
      <c r="B512" s="178"/>
      <c r="C512" s="178"/>
      <c r="D512" s="178"/>
      <c r="E512" s="178"/>
      <c r="F512" s="178"/>
      <c r="G512" s="178"/>
      <c r="H512" s="178"/>
    </row>
    <row r="513" spans="1:8" ht="12.75">
      <c r="A513" s="178"/>
      <c r="B513" s="178"/>
      <c r="C513" s="178"/>
      <c r="D513" s="178"/>
      <c r="E513" s="178"/>
      <c r="F513" s="178"/>
      <c r="G513" s="178"/>
      <c r="H513" s="178"/>
    </row>
    <row r="514" spans="1:8" ht="12.75">
      <c r="A514" s="178"/>
      <c r="B514" s="178"/>
      <c r="C514" s="178"/>
      <c r="D514" s="178"/>
      <c r="E514" s="178"/>
      <c r="F514" s="178"/>
      <c r="G514" s="178"/>
      <c r="H514" s="178"/>
    </row>
    <row r="515" spans="1:8" ht="12.75">
      <c r="A515" s="178"/>
      <c r="B515" s="178"/>
      <c r="C515" s="178"/>
      <c r="D515" s="178"/>
      <c r="E515" s="178"/>
      <c r="F515" s="178"/>
      <c r="G515" s="178"/>
      <c r="H515" s="178"/>
    </row>
    <row r="516" spans="1:8" ht="12.75">
      <c r="A516" s="178"/>
      <c r="B516" s="178"/>
      <c r="C516" s="178"/>
      <c r="D516" s="178"/>
      <c r="E516" s="178"/>
      <c r="F516" s="178"/>
      <c r="G516" s="178"/>
      <c r="H516" s="178"/>
    </row>
    <row r="517" spans="1:8" ht="12.75">
      <c r="A517" s="178"/>
      <c r="B517" s="178"/>
      <c r="C517" s="178"/>
      <c r="D517" s="178"/>
      <c r="E517" s="178"/>
      <c r="F517" s="178"/>
      <c r="G517" s="178"/>
      <c r="H517" s="178"/>
    </row>
    <row r="518" spans="1:8" ht="12.75">
      <c r="A518" s="178"/>
      <c r="B518" s="178"/>
      <c r="C518" s="178"/>
      <c r="D518" s="178"/>
      <c r="E518" s="178"/>
      <c r="F518" s="178"/>
      <c r="G518" s="178"/>
      <c r="H518" s="178"/>
    </row>
    <row r="519" spans="1:8" ht="12.75">
      <c r="A519" s="178"/>
      <c r="B519" s="178"/>
      <c r="C519" s="178"/>
      <c r="D519" s="178"/>
      <c r="E519" s="178"/>
      <c r="F519" s="178"/>
      <c r="G519" s="178"/>
      <c r="H519" s="178"/>
    </row>
    <row r="520" spans="1:8" ht="12.75">
      <c r="A520" s="178"/>
      <c r="B520" s="178"/>
      <c r="C520" s="178"/>
      <c r="D520" s="178"/>
      <c r="E520" s="178"/>
      <c r="F520" s="178"/>
      <c r="G520" s="178"/>
      <c r="H520" s="178"/>
    </row>
    <row r="521" spans="1:8" ht="12.75">
      <c r="A521" s="178"/>
      <c r="B521" s="178"/>
      <c r="C521" s="178"/>
      <c r="D521" s="178"/>
      <c r="E521" s="178"/>
      <c r="F521" s="178"/>
      <c r="G521" s="178"/>
      <c r="H521" s="178"/>
    </row>
    <row r="522" spans="1:8" ht="12.75">
      <c r="A522" s="178"/>
      <c r="B522" s="178"/>
      <c r="C522" s="178"/>
      <c r="D522" s="178"/>
      <c r="E522" s="178"/>
      <c r="F522" s="178"/>
      <c r="G522" s="178"/>
      <c r="H522" s="178"/>
    </row>
    <row r="523" spans="1:8" ht="12.75">
      <c r="A523" s="178"/>
      <c r="B523" s="178"/>
      <c r="C523" s="178"/>
      <c r="D523" s="178"/>
      <c r="E523" s="178"/>
      <c r="F523" s="178"/>
      <c r="G523" s="178"/>
      <c r="H523" s="178"/>
    </row>
    <row r="524" spans="1:8" ht="12.75">
      <c r="A524" s="178"/>
      <c r="B524" s="178"/>
      <c r="C524" s="178"/>
      <c r="D524" s="178"/>
      <c r="E524" s="178"/>
      <c r="F524" s="178"/>
      <c r="G524" s="178"/>
      <c r="H524" s="178"/>
    </row>
    <row r="525" spans="1:8" ht="12.75">
      <c r="A525" s="178"/>
      <c r="B525" s="178"/>
      <c r="C525" s="178"/>
      <c r="D525" s="178"/>
      <c r="E525" s="178"/>
      <c r="F525" s="178"/>
      <c r="G525" s="178"/>
      <c r="H525" s="178"/>
    </row>
    <row r="526" spans="1:8" ht="12.75">
      <c r="A526" s="178"/>
      <c r="B526" s="178"/>
      <c r="C526" s="178"/>
      <c r="D526" s="178"/>
      <c r="E526" s="178"/>
      <c r="F526" s="178"/>
      <c r="G526" s="178"/>
      <c r="H526" s="178"/>
    </row>
    <row r="527" spans="1:8" ht="12.75">
      <c r="A527" s="178"/>
      <c r="B527" s="178"/>
      <c r="C527" s="178"/>
      <c r="D527" s="178"/>
      <c r="E527" s="178"/>
      <c r="F527" s="178"/>
      <c r="G527" s="178"/>
      <c r="H527" s="178"/>
    </row>
    <row r="528" spans="1:8" ht="12.75">
      <c r="A528" s="178"/>
      <c r="B528" s="178"/>
      <c r="C528" s="178"/>
      <c r="D528" s="178"/>
      <c r="E528" s="178"/>
      <c r="F528" s="178"/>
      <c r="G528" s="178"/>
      <c r="H528" s="178"/>
    </row>
    <row r="529" spans="1:8" ht="12.75">
      <c r="A529" s="178"/>
      <c r="B529" s="178"/>
      <c r="C529" s="178"/>
      <c r="D529" s="178"/>
      <c r="E529" s="178"/>
      <c r="F529" s="178"/>
      <c r="G529" s="178"/>
      <c r="H529" s="178"/>
    </row>
    <row r="530" spans="1:8" ht="12.75">
      <c r="A530" s="178"/>
      <c r="B530" s="178"/>
      <c r="C530" s="178"/>
      <c r="D530" s="178"/>
      <c r="E530" s="178"/>
      <c r="F530" s="178"/>
      <c r="G530" s="178"/>
      <c r="H530" s="178"/>
    </row>
    <row r="531" spans="1:8" ht="12.75">
      <c r="A531" s="178"/>
      <c r="B531" s="178"/>
      <c r="C531" s="178"/>
      <c r="D531" s="178"/>
      <c r="E531" s="178"/>
      <c r="F531" s="178"/>
      <c r="G531" s="178"/>
      <c r="H531" s="178"/>
    </row>
    <row r="532" spans="1:8" ht="12.75">
      <c r="A532" s="178"/>
      <c r="B532" s="178"/>
      <c r="C532" s="178"/>
      <c r="D532" s="178"/>
      <c r="E532" s="178"/>
      <c r="F532" s="178"/>
      <c r="G532" s="178"/>
      <c r="H532" s="178"/>
    </row>
    <row r="533" spans="1:8" ht="12.75">
      <c r="A533" s="178"/>
      <c r="B533" s="178"/>
      <c r="C533" s="178"/>
      <c r="D533" s="178"/>
      <c r="E533" s="178"/>
      <c r="F533" s="178"/>
      <c r="G533" s="178"/>
      <c r="H533" s="178"/>
    </row>
    <row r="534" spans="1:8" ht="12.75">
      <c r="A534" s="178"/>
      <c r="B534" s="178"/>
      <c r="C534" s="178"/>
      <c r="D534" s="178"/>
      <c r="E534" s="178"/>
      <c r="F534" s="178"/>
      <c r="G534" s="178"/>
      <c r="H534" s="178"/>
    </row>
    <row r="535" spans="1:8" ht="12.75">
      <c r="A535" s="178"/>
      <c r="B535" s="178"/>
      <c r="C535" s="178"/>
      <c r="D535" s="178"/>
      <c r="E535" s="178"/>
      <c r="F535" s="178"/>
      <c r="G535" s="178"/>
      <c r="H535" s="178"/>
    </row>
    <row r="536" spans="1:8" ht="12.75">
      <c r="A536" s="178"/>
      <c r="B536" s="178"/>
      <c r="C536" s="178"/>
      <c r="D536" s="178"/>
      <c r="E536" s="178"/>
      <c r="F536" s="178"/>
      <c r="G536" s="178"/>
      <c r="H536" s="178"/>
    </row>
    <row r="537" spans="1:8" ht="12.75">
      <c r="A537" s="178"/>
      <c r="B537" s="178"/>
      <c r="C537" s="178"/>
      <c r="D537" s="178"/>
      <c r="E537" s="178"/>
      <c r="F537" s="178"/>
      <c r="G537" s="178"/>
      <c r="H537" s="178"/>
    </row>
    <row r="538" spans="1:8" ht="12.75">
      <c r="A538" s="178"/>
      <c r="B538" s="178"/>
      <c r="C538" s="178"/>
      <c r="D538" s="178"/>
      <c r="E538" s="178"/>
      <c r="F538" s="178"/>
      <c r="G538" s="178"/>
      <c r="H538" s="178"/>
    </row>
    <row r="539" spans="1:8" ht="12.75">
      <c r="A539" s="178"/>
      <c r="B539" s="178"/>
      <c r="C539" s="178"/>
      <c r="D539" s="178"/>
      <c r="E539" s="178"/>
      <c r="F539" s="178"/>
      <c r="G539" s="178"/>
      <c r="H539" s="178"/>
    </row>
    <row r="540" spans="1:8" ht="12.75">
      <c r="A540" s="178"/>
      <c r="B540" s="178"/>
      <c r="C540" s="178"/>
      <c r="D540" s="178"/>
      <c r="E540" s="178"/>
      <c r="F540" s="178"/>
      <c r="G540" s="178"/>
      <c r="H540" s="178"/>
    </row>
    <row r="541" spans="1:8" ht="12.75">
      <c r="A541" s="178"/>
      <c r="B541" s="178"/>
      <c r="C541" s="178"/>
      <c r="D541" s="178"/>
      <c r="E541" s="178"/>
      <c r="F541" s="178"/>
      <c r="G541" s="178"/>
      <c r="H541" s="178"/>
    </row>
    <row r="542" spans="1:8" ht="12.75">
      <c r="A542" s="178"/>
      <c r="B542" s="178"/>
      <c r="C542" s="178"/>
      <c r="D542" s="178"/>
      <c r="E542" s="178"/>
      <c r="F542" s="178"/>
      <c r="G542" s="178"/>
      <c r="H542" s="178"/>
    </row>
    <row r="543" spans="1:8" ht="12.75">
      <c r="A543" s="178"/>
      <c r="B543" s="178"/>
      <c r="C543" s="178"/>
      <c r="D543" s="178"/>
      <c r="E543" s="178"/>
      <c r="F543" s="178"/>
      <c r="G543" s="178"/>
      <c r="H543" s="178"/>
    </row>
    <row r="544" spans="1:8" ht="12.75">
      <c r="A544" s="178"/>
      <c r="B544" s="178"/>
      <c r="C544" s="178"/>
      <c r="D544" s="178"/>
      <c r="E544" s="178"/>
      <c r="F544" s="178"/>
      <c r="G544" s="178"/>
      <c r="H544" s="178"/>
    </row>
    <row r="545" spans="1:8" ht="12.75">
      <c r="A545" s="178"/>
      <c r="B545" s="178"/>
      <c r="C545" s="178"/>
      <c r="D545" s="178"/>
      <c r="E545" s="178"/>
      <c r="F545" s="178"/>
      <c r="G545" s="178"/>
      <c r="H545" s="178"/>
    </row>
    <row r="546" spans="1:8" ht="12.75">
      <c r="A546" s="178"/>
      <c r="B546" s="178"/>
      <c r="C546" s="178"/>
      <c r="D546" s="178"/>
      <c r="E546" s="178"/>
      <c r="F546" s="178"/>
      <c r="G546" s="178"/>
      <c r="H546" s="178"/>
    </row>
    <row r="547" spans="1:8" ht="12.75">
      <c r="A547" s="178"/>
      <c r="B547" s="178"/>
      <c r="C547" s="178"/>
      <c r="D547" s="178"/>
      <c r="E547" s="178"/>
      <c r="F547" s="178"/>
      <c r="G547" s="178"/>
      <c r="H547" s="178"/>
    </row>
    <row r="548" spans="1:8" ht="12.75">
      <c r="A548" s="178"/>
      <c r="B548" s="178"/>
      <c r="C548" s="178"/>
      <c r="D548" s="178"/>
      <c r="E548" s="178"/>
      <c r="F548" s="178"/>
      <c r="G548" s="178"/>
      <c r="H548" s="178"/>
    </row>
    <row r="549" spans="1:8" ht="12.75">
      <c r="A549" s="178"/>
      <c r="B549" s="178"/>
      <c r="C549" s="178"/>
      <c r="D549" s="178"/>
      <c r="E549" s="178"/>
      <c r="F549" s="178"/>
      <c r="G549" s="178"/>
      <c r="H549" s="178"/>
    </row>
    <row r="550" spans="1:8" ht="12.75">
      <c r="A550" s="178"/>
      <c r="B550" s="178"/>
      <c r="C550" s="178"/>
      <c r="D550" s="178"/>
      <c r="E550" s="178"/>
      <c r="F550" s="178"/>
      <c r="G550" s="178"/>
      <c r="H550" s="178"/>
    </row>
    <row r="551" spans="1:8" ht="12.75">
      <c r="A551" s="178"/>
      <c r="B551" s="178"/>
      <c r="C551" s="178"/>
      <c r="D551" s="178"/>
      <c r="E551" s="178"/>
      <c r="F551" s="178"/>
      <c r="G551" s="178"/>
      <c r="H551" s="178"/>
    </row>
    <row r="552" spans="1:8" ht="12.75">
      <c r="A552" s="178"/>
      <c r="B552" s="178"/>
      <c r="C552" s="178"/>
      <c r="D552" s="178"/>
      <c r="E552" s="178"/>
      <c r="F552" s="178"/>
      <c r="G552" s="178"/>
      <c r="H552" s="178"/>
    </row>
    <row r="553" spans="1:8" ht="12.75">
      <c r="A553" s="178"/>
      <c r="B553" s="178"/>
      <c r="C553" s="178"/>
      <c r="D553" s="178"/>
      <c r="E553" s="178"/>
      <c r="F553" s="178"/>
      <c r="G553" s="178"/>
      <c r="H553" s="178"/>
    </row>
    <row r="554" spans="1:8" ht="12.75">
      <c r="A554" s="178"/>
      <c r="B554" s="178"/>
      <c r="C554" s="178"/>
      <c r="D554" s="178"/>
      <c r="E554" s="178"/>
      <c r="F554" s="178"/>
      <c r="G554" s="178"/>
      <c r="H554" s="178"/>
    </row>
    <row r="555" spans="1:8" ht="12.75">
      <c r="A555" s="178"/>
      <c r="B555" s="178"/>
      <c r="C555" s="178"/>
      <c r="D555" s="178"/>
      <c r="E555" s="178"/>
      <c r="F555" s="178"/>
      <c r="G555" s="178"/>
      <c r="H555" s="178"/>
    </row>
    <row r="556" spans="1:8" ht="12.75">
      <c r="A556" s="178"/>
      <c r="B556" s="178"/>
      <c r="C556" s="178"/>
      <c r="D556" s="178"/>
      <c r="E556" s="178"/>
      <c r="F556" s="178"/>
      <c r="G556" s="178"/>
      <c r="H556" s="178"/>
    </row>
    <row r="557" spans="1:8" ht="12.75">
      <c r="A557" s="178"/>
      <c r="B557" s="178"/>
      <c r="C557" s="178"/>
      <c r="D557" s="178"/>
      <c r="E557" s="178"/>
      <c r="F557" s="178"/>
      <c r="G557" s="178"/>
      <c r="H557" s="178"/>
    </row>
    <row r="558" spans="1:8" ht="12.75">
      <c r="A558" s="178"/>
      <c r="B558" s="178"/>
      <c r="C558" s="178"/>
      <c r="D558" s="178"/>
      <c r="E558" s="178"/>
      <c r="F558" s="178"/>
      <c r="G558" s="178"/>
      <c r="H558" s="178"/>
    </row>
    <row r="559" spans="1:8" ht="12.75">
      <c r="A559" s="178"/>
      <c r="B559" s="178"/>
      <c r="C559" s="178"/>
      <c r="D559" s="178"/>
      <c r="E559" s="178"/>
      <c r="F559" s="178"/>
      <c r="G559" s="178"/>
      <c r="H559" s="178"/>
    </row>
    <row r="560" spans="1:8" ht="12.75">
      <c r="A560" s="178"/>
      <c r="B560" s="178"/>
      <c r="C560" s="178"/>
      <c r="D560" s="178"/>
      <c r="E560" s="178"/>
      <c r="F560" s="178"/>
      <c r="G560" s="178"/>
      <c r="H560" s="178"/>
    </row>
    <row r="561" spans="1:8" ht="12.75">
      <c r="A561" s="178"/>
      <c r="B561" s="178"/>
      <c r="C561" s="178"/>
      <c r="D561" s="178"/>
      <c r="E561" s="178"/>
      <c r="F561" s="178"/>
      <c r="G561" s="178"/>
      <c r="H561" s="178"/>
    </row>
    <row r="562" spans="1:8" ht="12.75">
      <c r="A562" s="178"/>
      <c r="B562" s="178"/>
      <c r="C562" s="178"/>
      <c r="D562" s="178"/>
      <c r="E562" s="178"/>
      <c r="F562" s="178"/>
      <c r="G562" s="178"/>
      <c r="H562" s="178"/>
    </row>
    <row r="563" spans="1:8" ht="12.75">
      <c r="A563" s="178"/>
      <c r="B563" s="178"/>
      <c r="C563" s="178"/>
      <c r="D563" s="178"/>
      <c r="E563" s="178"/>
      <c r="F563" s="178"/>
      <c r="G563" s="178"/>
      <c r="H563" s="178"/>
    </row>
    <row r="564" spans="1:8" ht="12.75">
      <c r="A564" s="178"/>
      <c r="B564" s="178"/>
      <c r="C564" s="178"/>
      <c r="D564" s="178"/>
      <c r="E564" s="178"/>
      <c r="F564" s="178"/>
      <c r="G564" s="178"/>
      <c r="H564" s="178"/>
    </row>
    <row r="565" spans="1:8" ht="12.75">
      <c r="A565" s="178"/>
      <c r="B565" s="178"/>
      <c r="C565" s="178"/>
      <c r="D565" s="178"/>
      <c r="E565" s="178"/>
      <c r="F565" s="178"/>
      <c r="G565" s="178"/>
      <c r="H565" s="178"/>
    </row>
    <row r="566" spans="1:8" ht="12.75">
      <c r="A566" s="178"/>
      <c r="B566" s="178"/>
      <c r="C566" s="178"/>
      <c r="D566" s="178"/>
      <c r="E566" s="178"/>
      <c r="F566" s="178"/>
      <c r="G566" s="178"/>
      <c r="H566" s="178"/>
    </row>
    <row r="567" spans="1:8" ht="12.75">
      <c r="A567" s="178"/>
      <c r="B567" s="178"/>
      <c r="C567" s="178"/>
      <c r="D567" s="178"/>
      <c r="E567" s="178"/>
      <c r="F567" s="178"/>
      <c r="G567" s="178"/>
      <c r="H567" s="178"/>
    </row>
    <row r="568" spans="1:8" ht="12.75">
      <c r="A568" s="178"/>
      <c r="B568" s="178"/>
      <c r="C568" s="178"/>
      <c r="D568" s="178"/>
      <c r="E568" s="178"/>
      <c r="F568" s="178"/>
      <c r="G568" s="178"/>
      <c r="H568" s="178"/>
    </row>
    <row r="569" spans="1:8" ht="12.75">
      <c r="A569" s="178"/>
      <c r="B569" s="178"/>
      <c r="C569" s="178"/>
      <c r="D569" s="178"/>
      <c r="E569" s="178"/>
      <c r="F569" s="178"/>
      <c r="G569" s="178"/>
      <c r="H569" s="178"/>
    </row>
    <row r="570" spans="1:8" ht="12.75">
      <c r="A570" s="178"/>
      <c r="B570" s="178"/>
      <c r="C570" s="178"/>
      <c r="D570" s="178"/>
      <c r="E570" s="178"/>
      <c r="F570" s="178"/>
      <c r="G570" s="178"/>
      <c r="H570" s="178"/>
    </row>
    <row r="571" spans="1:8" ht="12.75">
      <c r="A571" s="178"/>
      <c r="B571" s="178"/>
      <c r="C571" s="178"/>
      <c r="D571" s="178"/>
      <c r="E571" s="178"/>
      <c r="F571" s="178"/>
      <c r="G571" s="178"/>
      <c r="H571" s="178"/>
    </row>
    <row r="572" spans="1:8" ht="12.75">
      <c r="A572" s="178"/>
      <c r="B572" s="178"/>
      <c r="C572" s="178"/>
      <c r="D572" s="178"/>
      <c r="E572" s="178"/>
      <c r="F572" s="178"/>
      <c r="G572" s="178"/>
      <c r="H572" s="178"/>
    </row>
    <row r="573" spans="1:8" ht="12.75">
      <c r="A573" s="178"/>
      <c r="B573" s="178"/>
      <c r="C573" s="178"/>
      <c r="D573" s="178"/>
      <c r="E573" s="178"/>
      <c r="F573" s="178"/>
      <c r="G573" s="178"/>
      <c r="H573" s="178"/>
    </row>
    <row r="574" spans="1:8" ht="12.75">
      <c r="A574" s="178"/>
      <c r="B574" s="178"/>
      <c r="C574" s="178"/>
      <c r="D574" s="178"/>
      <c r="E574" s="178"/>
      <c r="F574" s="178"/>
      <c r="G574" s="178"/>
      <c r="H574" s="178"/>
    </row>
    <row r="575" spans="1:8" ht="12.75">
      <c r="A575" s="178"/>
      <c r="B575" s="178"/>
      <c r="C575" s="178"/>
      <c r="D575" s="178"/>
      <c r="E575" s="178"/>
      <c r="F575" s="178"/>
      <c r="G575" s="178"/>
      <c r="H575" s="178"/>
    </row>
    <row r="576" spans="1:8" ht="12.75">
      <c r="A576" s="178"/>
      <c r="B576" s="178"/>
      <c r="C576" s="178"/>
      <c r="D576" s="178"/>
      <c r="E576" s="178"/>
      <c r="F576" s="178"/>
      <c r="G576" s="178"/>
      <c r="H576" s="178"/>
    </row>
    <row r="577" spans="1:8" ht="12.75">
      <c r="A577" s="178"/>
      <c r="B577" s="178"/>
      <c r="C577" s="178"/>
      <c r="D577" s="178"/>
      <c r="E577" s="178"/>
      <c r="F577" s="178"/>
      <c r="G577" s="178"/>
      <c r="H577" s="178"/>
    </row>
    <row r="578" spans="1:8" ht="12.75">
      <c r="A578" s="178"/>
      <c r="B578" s="178"/>
      <c r="C578" s="178"/>
      <c r="D578" s="178"/>
      <c r="E578" s="178"/>
      <c r="F578" s="178"/>
      <c r="G578" s="178"/>
      <c r="H578" s="178"/>
    </row>
    <row r="579" spans="1:8" ht="12.75">
      <c r="A579" s="178"/>
      <c r="B579" s="178"/>
      <c r="C579" s="178"/>
      <c r="D579" s="178"/>
      <c r="E579" s="178"/>
      <c r="F579" s="178"/>
      <c r="G579" s="178"/>
      <c r="H579" s="178"/>
    </row>
    <row r="580" spans="1:8" ht="12.75">
      <c r="A580" s="178"/>
      <c r="B580" s="178"/>
      <c r="C580" s="178"/>
      <c r="D580" s="178"/>
      <c r="E580" s="178"/>
      <c r="F580" s="178"/>
      <c r="G580" s="178"/>
      <c r="H580" s="178"/>
    </row>
    <row r="581" spans="1:8" ht="12.75">
      <c r="A581" s="178"/>
      <c r="B581" s="178"/>
      <c r="C581" s="178"/>
      <c r="D581" s="178"/>
      <c r="E581" s="178"/>
      <c r="F581" s="178"/>
      <c r="G581" s="178"/>
      <c r="H581" s="178"/>
    </row>
    <row r="582" spans="1:8" ht="12.75">
      <c r="A582" s="178"/>
      <c r="B582" s="178"/>
      <c r="C582" s="178"/>
      <c r="D582" s="178"/>
      <c r="E582" s="178"/>
      <c r="F582" s="178"/>
      <c r="G582" s="178"/>
      <c r="H582" s="178"/>
    </row>
    <row r="583" spans="1:8" ht="12.75">
      <c r="A583" s="178"/>
      <c r="B583" s="178"/>
      <c r="C583" s="178"/>
      <c r="D583" s="178"/>
      <c r="E583" s="178"/>
      <c r="F583" s="178"/>
      <c r="G583" s="178"/>
      <c r="H583" s="178"/>
    </row>
    <row r="584" spans="1:8" ht="12.75">
      <c r="A584" s="178"/>
      <c r="B584" s="178"/>
      <c r="C584" s="178"/>
      <c r="D584" s="178"/>
      <c r="E584" s="178"/>
      <c r="F584" s="178"/>
      <c r="G584" s="178"/>
      <c r="H584" s="178"/>
    </row>
    <row r="585" spans="1:8" ht="12.75">
      <c r="A585" s="178"/>
      <c r="B585" s="178"/>
      <c r="C585" s="178"/>
      <c r="D585" s="178"/>
      <c r="E585" s="178"/>
      <c r="F585" s="178"/>
      <c r="G585" s="178"/>
      <c r="H585" s="178"/>
    </row>
    <row r="586" spans="1:8" ht="12.75">
      <c r="A586" s="178"/>
      <c r="B586" s="178"/>
      <c r="C586" s="178"/>
      <c r="D586" s="178"/>
      <c r="E586" s="178"/>
      <c r="F586" s="178"/>
      <c r="G586" s="178"/>
      <c r="H586" s="178"/>
    </row>
    <row r="587" spans="1:8" ht="12.75">
      <c r="A587" s="178"/>
      <c r="B587" s="178"/>
      <c r="C587" s="178"/>
      <c r="D587" s="178"/>
      <c r="E587" s="178"/>
      <c r="F587" s="178"/>
      <c r="G587" s="178"/>
      <c r="H587" s="178"/>
    </row>
    <row r="588" spans="1:8" ht="12.75">
      <c r="A588" s="178"/>
      <c r="B588" s="178"/>
      <c r="C588" s="178"/>
      <c r="D588" s="178"/>
      <c r="E588" s="178"/>
      <c r="F588" s="178"/>
      <c r="G588" s="178"/>
      <c r="H588" s="178"/>
    </row>
    <row r="589" spans="1:8" ht="12.75">
      <c r="A589" s="178"/>
      <c r="B589" s="178"/>
      <c r="C589" s="178"/>
      <c r="D589" s="178"/>
      <c r="E589" s="178"/>
      <c r="F589" s="178"/>
      <c r="G589" s="178"/>
      <c r="H589" s="178"/>
    </row>
    <row r="590" spans="1:8" ht="12.75">
      <c r="A590" s="178"/>
      <c r="B590" s="178"/>
      <c r="C590" s="178"/>
      <c r="D590" s="178"/>
      <c r="E590" s="178"/>
      <c r="F590" s="178"/>
      <c r="G590" s="178"/>
      <c r="H590" s="178"/>
    </row>
    <row r="591" spans="1:8" ht="12.75">
      <c r="A591" s="178"/>
      <c r="B591" s="178"/>
      <c r="C591" s="178"/>
      <c r="D591" s="178"/>
      <c r="E591" s="178"/>
      <c r="F591" s="178"/>
      <c r="G591" s="178"/>
      <c r="H591" s="178"/>
    </row>
    <row r="592" spans="1:8" ht="12.75">
      <c r="A592" s="178"/>
      <c r="B592" s="178"/>
      <c r="C592" s="178"/>
      <c r="D592" s="178"/>
      <c r="E592" s="178"/>
      <c r="F592" s="178"/>
      <c r="G592" s="178"/>
      <c r="H592" s="178"/>
    </row>
    <row r="593" spans="1:8" ht="12.75">
      <c r="A593" s="178"/>
      <c r="B593" s="178"/>
      <c r="C593" s="178"/>
      <c r="D593" s="178"/>
      <c r="E593" s="178"/>
      <c r="F593" s="178"/>
      <c r="G593" s="178"/>
      <c r="H593" s="178"/>
    </row>
    <row r="594" spans="1:8" ht="12.75">
      <c r="A594" s="178"/>
      <c r="B594" s="178"/>
      <c r="C594" s="178"/>
      <c r="D594" s="178"/>
      <c r="E594" s="178"/>
      <c r="F594" s="178"/>
      <c r="G594" s="178"/>
      <c r="H594" s="178"/>
    </row>
    <row r="595" spans="1:8" ht="12.75">
      <c r="A595" s="178"/>
      <c r="B595" s="178"/>
      <c r="C595" s="178"/>
      <c r="D595" s="178"/>
      <c r="E595" s="178"/>
      <c r="F595" s="178"/>
      <c r="G595" s="178"/>
      <c r="H595" s="178"/>
    </row>
    <row r="596" spans="1:8" ht="12.75">
      <c r="A596" s="178"/>
      <c r="B596" s="178"/>
      <c r="C596" s="178"/>
      <c r="D596" s="178"/>
      <c r="E596" s="178"/>
      <c r="F596" s="178"/>
      <c r="G596" s="178"/>
      <c r="H596" s="178"/>
    </row>
    <row r="597" spans="1:8" ht="12.75">
      <c r="A597" s="178"/>
      <c r="B597" s="178"/>
      <c r="C597" s="178"/>
      <c r="D597" s="178"/>
      <c r="E597" s="178"/>
      <c r="F597" s="178"/>
      <c r="G597" s="178"/>
      <c r="H597" s="178"/>
    </row>
    <row r="598" spans="1:8" ht="12.75">
      <c r="A598" s="178"/>
      <c r="B598" s="178"/>
      <c r="C598" s="178"/>
      <c r="D598" s="178"/>
      <c r="E598" s="178"/>
      <c r="F598" s="178"/>
      <c r="G598" s="178"/>
      <c r="H598" s="178"/>
    </row>
    <row r="599" spans="1:8" ht="12.75">
      <c r="A599" s="178"/>
      <c r="B599" s="178"/>
      <c r="C599" s="178"/>
      <c r="D599" s="178"/>
      <c r="E599" s="178"/>
      <c r="F599" s="178"/>
      <c r="G599" s="178"/>
      <c r="H599" s="178"/>
    </row>
    <row r="600" spans="1:8" ht="12.75">
      <c r="A600" s="178"/>
      <c r="B600" s="178"/>
      <c r="C600" s="178"/>
      <c r="D600" s="178"/>
      <c r="E600" s="178"/>
      <c r="F600" s="178"/>
      <c r="G600" s="178"/>
      <c r="H600" s="178"/>
    </row>
    <row r="601" spans="1:8" ht="12.75">
      <c r="A601" s="178"/>
      <c r="B601" s="178"/>
      <c r="C601" s="178"/>
      <c r="D601" s="178"/>
      <c r="E601" s="178"/>
      <c r="F601" s="178"/>
      <c r="G601" s="178"/>
      <c r="H601" s="178"/>
    </row>
    <row r="602" spans="1:8" ht="12.75">
      <c r="A602" s="178"/>
      <c r="B602" s="178"/>
      <c r="C602" s="178"/>
      <c r="D602" s="178"/>
      <c r="E602" s="178"/>
      <c r="F602" s="178"/>
      <c r="G602" s="178"/>
      <c r="H602" s="178"/>
    </row>
    <row r="603" spans="1:8" ht="12.75">
      <c r="A603" s="178"/>
      <c r="B603" s="178"/>
      <c r="C603" s="178"/>
      <c r="D603" s="178"/>
      <c r="E603" s="178"/>
      <c r="F603" s="178"/>
      <c r="G603" s="178"/>
      <c r="H603" s="178"/>
    </row>
    <row r="604" spans="1:8" ht="12.75">
      <c r="A604" s="178"/>
      <c r="B604" s="178"/>
      <c r="C604" s="178"/>
      <c r="D604" s="178"/>
      <c r="E604" s="178"/>
      <c r="F604" s="178"/>
      <c r="G604" s="178"/>
      <c r="H604" s="178"/>
    </row>
    <row r="605" spans="1:8" ht="12.75">
      <c r="A605" s="178"/>
      <c r="B605" s="178"/>
      <c r="C605" s="178"/>
      <c r="D605" s="178"/>
      <c r="E605" s="178"/>
      <c r="F605" s="178"/>
      <c r="G605" s="178"/>
      <c r="H605" s="178"/>
    </row>
    <row r="606" spans="1:8" ht="12.75">
      <c r="A606" s="178"/>
      <c r="B606" s="178"/>
      <c r="C606" s="178"/>
      <c r="D606" s="178"/>
      <c r="E606" s="178"/>
      <c r="F606" s="178"/>
      <c r="G606" s="178"/>
      <c r="H606" s="178"/>
    </row>
    <row r="607" spans="1:8" ht="12.75">
      <c r="A607" s="178"/>
      <c r="B607" s="178"/>
      <c r="C607" s="178"/>
      <c r="D607" s="178"/>
      <c r="E607" s="178"/>
      <c r="F607" s="178"/>
      <c r="G607" s="178"/>
      <c r="H607" s="178"/>
    </row>
    <row r="608" spans="1:8" ht="12.75">
      <c r="A608" s="178"/>
      <c r="B608" s="178"/>
      <c r="C608" s="178"/>
      <c r="D608" s="178"/>
      <c r="E608" s="178"/>
      <c r="F608" s="178"/>
      <c r="G608" s="178"/>
      <c r="H608" s="178"/>
    </row>
    <row r="609" spans="1:8" ht="12.75">
      <c r="A609" s="178"/>
      <c r="B609" s="178"/>
      <c r="C609" s="178"/>
      <c r="D609" s="178"/>
      <c r="E609" s="178"/>
      <c r="F609" s="178"/>
      <c r="G609" s="178"/>
      <c r="H609" s="178"/>
    </row>
    <row r="610" spans="1:8" ht="12.75">
      <c r="A610" s="178"/>
      <c r="B610" s="178"/>
      <c r="C610" s="178"/>
      <c r="D610" s="178"/>
      <c r="E610" s="178"/>
      <c r="F610" s="178"/>
      <c r="G610" s="178"/>
      <c r="H610" s="178"/>
    </row>
    <row r="611" spans="1:8" ht="12.75">
      <c r="A611" s="178"/>
      <c r="B611" s="178"/>
      <c r="C611" s="178"/>
      <c r="D611" s="178"/>
      <c r="E611" s="178"/>
      <c r="F611" s="178"/>
      <c r="G611" s="178"/>
      <c r="H611" s="178"/>
    </row>
    <row r="612" spans="1:8" ht="12.75">
      <c r="A612" s="178"/>
      <c r="B612" s="178"/>
      <c r="C612" s="178"/>
      <c r="D612" s="178"/>
      <c r="E612" s="178"/>
      <c r="F612" s="178"/>
      <c r="G612" s="178"/>
      <c r="H612" s="178"/>
    </row>
    <row r="613" spans="1:8" ht="12.75">
      <c r="A613" s="178"/>
      <c r="B613" s="178"/>
      <c r="C613" s="178"/>
      <c r="D613" s="178"/>
      <c r="E613" s="178"/>
      <c r="F613" s="178"/>
      <c r="G613" s="178"/>
      <c r="H613" s="178"/>
    </row>
    <row r="614" spans="1:8" ht="12.75">
      <c r="A614" s="178"/>
      <c r="B614" s="178"/>
      <c r="C614" s="178"/>
      <c r="D614" s="178"/>
      <c r="E614" s="178"/>
      <c r="F614" s="178"/>
      <c r="G614" s="178"/>
      <c r="H614" s="178"/>
    </row>
    <row r="615" spans="1:8" ht="12.75">
      <c r="A615" s="178"/>
      <c r="B615" s="178"/>
      <c r="C615" s="178"/>
      <c r="D615" s="178"/>
      <c r="E615" s="178"/>
      <c r="F615" s="178"/>
      <c r="G615" s="178"/>
      <c r="H615" s="178"/>
    </row>
    <row r="616" spans="1:8" ht="12.75">
      <c r="A616" s="178"/>
      <c r="B616" s="178"/>
      <c r="C616" s="178"/>
      <c r="D616" s="178"/>
      <c r="E616" s="178"/>
      <c r="F616" s="178"/>
      <c r="G616" s="178"/>
      <c r="H616" s="178"/>
    </row>
    <row r="617" spans="1:8" ht="12.75">
      <c r="A617" s="178"/>
      <c r="B617" s="178"/>
      <c r="C617" s="178"/>
      <c r="D617" s="178"/>
      <c r="E617" s="178"/>
      <c r="F617" s="178"/>
      <c r="G617" s="178"/>
      <c r="H617" s="178"/>
    </row>
    <row r="618" spans="1:8" ht="12.75">
      <c r="A618" s="178"/>
      <c r="B618" s="178"/>
      <c r="C618" s="178"/>
      <c r="D618" s="178"/>
      <c r="E618" s="178"/>
      <c r="F618" s="178"/>
      <c r="G618" s="178"/>
      <c r="H618" s="178"/>
    </row>
    <row r="619" spans="1:8" ht="12.75">
      <c r="A619" s="178"/>
      <c r="B619" s="178"/>
      <c r="C619" s="178"/>
      <c r="D619" s="178"/>
      <c r="E619" s="178"/>
      <c r="F619" s="178"/>
      <c r="G619" s="178"/>
      <c r="H619" s="178"/>
    </row>
    <row r="620" spans="1:8" ht="12.75">
      <c r="A620" s="178"/>
      <c r="B620" s="178"/>
      <c r="C620" s="178"/>
      <c r="D620" s="178"/>
      <c r="E620" s="178"/>
      <c r="F620" s="178"/>
      <c r="G620" s="178"/>
      <c r="H620" s="178"/>
    </row>
    <row r="621" spans="1:8" ht="12.75">
      <c r="A621" s="178"/>
      <c r="B621" s="178"/>
      <c r="C621" s="178"/>
      <c r="D621" s="178"/>
      <c r="E621" s="178"/>
      <c r="F621" s="178"/>
      <c r="G621" s="178"/>
      <c r="H621" s="178"/>
    </row>
    <row r="622" spans="1:8" ht="12.75">
      <c r="A622" s="178"/>
      <c r="B622" s="178"/>
      <c r="C622" s="178"/>
      <c r="D622" s="178"/>
      <c r="E622" s="178"/>
      <c r="F622" s="178"/>
      <c r="G622" s="178"/>
      <c r="H622" s="178"/>
    </row>
    <row r="623" spans="1:8" ht="12.75">
      <c r="A623" s="178"/>
      <c r="B623" s="178"/>
      <c r="C623" s="178"/>
      <c r="D623" s="178"/>
      <c r="E623" s="178"/>
      <c r="F623" s="178"/>
      <c r="G623" s="178"/>
      <c r="H623" s="178"/>
    </row>
    <row r="624" spans="1:8" ht="12.75">
      <c r="A624" s="178"/>
      <c r="B624" s="178"/>
      <c r="C624" s="178"/>
      <c r="D624" s="178"/>
      <c r="E624" s="178"/>
      <c r="F624" s="178"/>
      <c r="G624" s="178"/>
      <c r="H624" s="178"/>
    </row>
    <row r="625" spans="1:8" ht="12.75">
      <c r="A625" s="178"/>
      <c r="B625" s="178"/>
      <c r="C625" s="178"/>
      <c r="D625" s="178"/>
      <c r="E625" s="178"/>
      <c r="F625" s="178"/>
      <c r="G625" s="178"/>
      <c r="H625" s="178"/>
    </row>
    <row r="626" spans="1:8" ht="12.75">
      <c r="A626" s="178"/>
      <c r="B626" s="178"/>
      <c r="C626" s="178"/>
      <c r="D626" s="178"/>
      <c r="E626" s="178"/>
      <c r="F626" s="178"/>
      <c r="G626" s="178"/>
      <c r="H626" s="178"/>
    </row>
    <row r="627" spans="1:8" ht="12.75">
      <c r="A627" s="178"/>
      <c r="B627" s="178"/>
      <c r="C627" s="178"/>
      <c r="D627" s="178"/>
      <c r="E627" s="178"/>
      <c r="F627" s="178"/>
      <c r="G627" s="178"/>
      <c r="H627" s="178"/>
    </row>
    <row r="628" spans="1:8" ht="12.75">
      <c r="A628" s="178"/>
      <c r="B628" s="178"/>
      <c r="C628" s="178"/>
      <c r="D628" s="178"/>
      <c r="E628" s="178"/>
      <c r="F628" s="178"/>
      <c r="G628" s="178"/>
      <c r="H628" s="178"/>
    </row>
    <row r="629" spans="1:8" ht="12.75">
      <c r="A629" s="178"/>
      <c r="B629" s="178"/>
      <c r="C629" s="178"/>
      <c r="D629" s="178"/>
      <c r="E629" s="178"/>
      <c r="F629" s="178"/>
      <c r="G629" s="178"/>
      <c r="H629" s="178"/>
    </row>
    <row r="630" spans="1:8" ht="12.75">
      <c r="A630" s="178"/>
      <c r="B630" s="178"/>
      <c r="C630" s="178"/>
      <c r="D630" s="178"/>
      <c r="E630" s="178"/>
      <c r="F630" s="178"/>
      <c r="G630" s="178"/>
      <c r="H630" s="178"/>
    </row>
    <row r="631" spans="1:8" ht="12.75">
      <c r="A631" s="178"/>
      <c r="B631" s="178"/>
      <c r="C631" s="178"/>
      <c r="D631" s="178"/>
      <c r="E631" s="178"/>
      <c r="F631" s="178"/>
      <c r="G631" s="178"/>
      <c r="H631" s="178"/>
    </row>
    <row r="632" spans="1:8" ht="12.75">
      <c r="A632" s="178"/>
      <c r="B632" s="178"/>
      <c r="C632" s="178"/>
      <c r="D632" s="178"/>
      <c r="E632" s="178"/>
      <c r="F632" s="178"/>
      <c r="G632" s="178"/>
      <c r="H632" s="178"/>
    </row>
    <row r="633" spans="1:8" ht="12.75">
      <c r="A633" s="178"/>
      <c r="B633" s="178"/>
      <c r="C633" s="178"/>
      <c r="D633" s="178"/>
      <c r="E633" s="178"/>
      <c r="F633" s="178"/>
      <c r="G633" s="178"/>
      <c r="H633" s="178"/>
    </row>
    <row r="634" spans="1:8" ht="12.75">
      <c r="A634" s="178"/>
      <c r="B634" s="178"/>
      <c r="C634" s="178"/>
      <c r="D634" s="178"/>
      <c r="E634" s="178"/>
      <c r="F634" s="178"/>
      <c r="G634" s="178"/>
      <c r="H634" s="178"/>
    </row>
    <row r="635" spans="1:8" ht="12.75">
      <c r="A635" s="178"/>
      <c r="B635" s="178"/>
      <c r="C635" s="178"/>
      <c r="D635" s="178"/>
      <c r="E635" s="178"/>
      <c r="F635" s="178"/>
      <c r="G635" s="178"/>
      <c r="H635" s="178"/>
    </row>
    <row r="636" spans="1:8" ht="12.75">
      <c r="A636" s="178"/>
      <c r="B636" s="178"/>
      <c r="C636" s="178"/>
      <c r="D636" s="178"/>
      <c r="E636" s="178"/>
      <c r="F636" s="178"/>
      <c r="G636" s="178"/>
      <c r="H636" s="178"/>
    </row>
    <row r="637" spans="1:8" ht="12.75">
      <c r="A637" s="178"/>
      <c r="B637" s="178"/>
      <c r="C637" s="178"/>
      <c r="D637" s="178"/>
      <c r="E637" s="178"/>
      <c r="F637" s="178"/>
      <c r="G637" s="178"/>
      <c r="H637" s="178"/>
    </row>
    <row r="638" spans="1:8" ht="12.75">
      <c r="A638" s="178"/>
      <c r="B638" s="178"/>
      <c r="C638" s="178"/>
      <c r="D638" s="178"/>
      <c r="E638" s="178"/>
      <c r="F638" s="178"/>
      <c r="G638" s="178"/>
      <c r="H638" s="178"/>
    </row>
    <row r="639" spans="1:8" ht="12.75">
      <c r="A639" s="178"/>
      <c r="B639" s="178"/>
      <c r="C639" s="178"/>
      <c r="D639" s="178"/>
      <c r="E639" s="178"/>
      <c r="F639" s="178"/>
      <c r="G639" s="178"/>
      <c r="H639" s="178"/>
    </row>
    <row r="640" spans="1:8" ht="12.75">
      <c r="A640" s="178"/>
      <c r="B640" s="178"/>
      <c r="C640" s="178"/>
      <c r="D640" s="178"/>
      <c r="E640" s="178"/>
      <c r="F640" s="178"/>
      <c r="G640" s="178"/>
      <c r="H640" s="178"/>
    </row>
    <row r="641" spans="1:8" ht="12.75">
      <c r="A641" s="178"/>
      <c r="B641" s="178"/>
      <c r="C641" s="178"/>
      <c r="D641" s="178"/>
      <c r="E641" s="178"/>
      <c r="F641" s="178"/>
      <c r="G641" s="178"/>
      <c r="H641" s="178"/>
    </row>
    <row r="642" spans="1:8" ht="12.75">
      <c r="A642" s="178"/>
      <c r="B642" s="178"/>
      <c r="C642" s="178"/>
      <c r="D642" s="178"/>
      <c r="E642" s="178"/>
      <c r="F642" s="178"/>
      <c r="G642" s="178"/>
      <c r="H642" s="178"/>
    </row>
    <row r="643" spans="1:8" ht="12.75">
      <c r="A643" s="178"/>
      <c r="B643" s="178"/>
      <c r="C643" s="178"/>
      <c r="D643" s="178"/>
      <c r="E643" s="178"/>
      <c r="F643" s="178"/>
      <c r="G643" s="178"/>
      <c r="H643" s="178"/>
    </row>
    <row r="644" spans="1:8" ht="12.75">
      <c r="A644" s="178"/>
      <c r="B644" s="178"/>
      <c r="C644" s="178"/>
      <c r="D644" s="178"/>
      <c r="E644" s="178"/>
      <c r="F644" s="178"/>
      <c r="G644" s="178"/>
      <c r="H644" s="178"/>
    </row>
    <row r="645" spans="1:8" ht="12.75">
      <c r="A645" s="178"/>
      <c r="B645" s="178"/>
      <c r="C645" s="178"/>
      <c r="D645" s="178"/>
      <c r="E645" s="178"/>
      <c r="F645" s="178"/>
      <c r="G645" s="178"/>
      <c r="H645" s="178"/>
    </row>
    <row r="646" spans="1:8" ht="12.75">
      <c r="A646" s="178"/>
      <c r="B646" s="178"/>
      <c r="C646" s="178"/>
      <c r="D646" s="178"/>
      <c r="E646" s="178"/>
      <c r="F646" s="178"/>
      <c r="G646" s="178"/>
      <c r="H646" s="178"/>
    </row>
    <row r="647" spans="1:8" ht="12.75">
      <c r="A647" s="178"/>
      <c r="B647" s="178"/>
      <c r="C647" s="178"/>
      <c r="D647" s="178"/>
      <c r="E647" s="178"/>
      <c r="F647" s="178"/>
      <c r="G647" s="178"/>
      <c r="H647" s="178"/>
    </row>
    <row r="648" spans="1:8" ht="12.75">
      <c r="A648" s="178"/>
      <c r="B648" s="178"/>
      <c r="C648" s="178"/>
      <c r="D648" s="178"/>
      <c r="E648" s="178"/>
      <c r="F648" s="178"/>
      <c r="G648" s="178"/>
      <c r="H648" s="178"/>
    </row>
    <row r="649" spans="1:8" ht="12.75">
      <c r="A649" s="178"/>
      <c r="B649" s="178"/>
      <c r="C649" s="178"/>
      <c r="D649" s="178"/>
      <c r="E649" s="178"/>
      <c r="F649" s="178"/>
      <c r="G649" s="178"/>
      <c r="H649" s="178"/>
    </row>
    <row r="650" spans="1:8" ht="12.75">
      <c r="A650" s="178"/>
      <c r="B650" s="178"/>
      <c r="C650" s="178"/>
      <c r="D650" s="178"/>
      <c r="E650" s="178"/>
      <c r="F650" s="178"/>
      <c r="G650" s="178"/>
      <c r="H650" s="178"/>
    </row>
    <row r="651" spans="1:8" ht="12.75">
      <c r="A651" s="178"/>
      <c r="B651" s="178"/>
      <c r="C651" s="178"/>
      <c r="D651" s="178"/>
      <c r="E651" s="178"/>
      <c r="F651" s="178"/>
      <c r="G651" s="178"/>
      <c r="H651" s="178"/>
    </row>
    <row r="652" spans="1:8" ht="12.75">
      <c r="A652" s="178"/>
      <c r="B652" s="178"/>
      <c r="C652" s="178"/>
      <c r="D652" s="178"/>
      <c r="E652" s="178"/>
      <c r="F652" s="178"/>
      <c r="G652" s="178"/>
      <c r="H652" s="178"/>
    </row>
    <row r="653" spans="1:8" ht="12.75">
      <c r="A653" s="178"/>
      <c r="B653" s="178"/>
      <c r="C653" s="178"/>
      <c r="D653" s="178"/>
      <c r="E653" s="178"/>
      <c r="F653" s="178"/>
      <c r="G653" s="178"/>
      <c r="H653" s="178"/>
    </row>
    <row r="654" spans="1:8" ht="12.75">
      <c r="A654" s="178"/>
      <c r="B654" s="178"/>
      <c r="C654" s="178"/>
      <c r="D654" s="178"/>
      <c r="E654" s="178"/>
      <c r="F654" s="178"/>
      <c r="G654" s="178"/>
      <c r="H654" s="178"/>
    </row>
    <row r="655" spans="1:8" ht="12.75">
      <c r="A655" s="178"/>
      <c r="B655" s="178"/>
      <c r="C655" s="178"/>
      <c r="D655" s="178"/>
      <c r="E655" s="178"/>
      <c r="F655" s="178"/>
      <c r="G655" s="178"/>
      <c r="H655" s="178"/>
    </row>
    <row r="656" spans="1:8" ht="12.75">
      <c r="A656" s="178"/>
      <c r="B656" s="178"/>
      <c r="C656" s="178"/>
      <c r="D656" s="178"/>
      <c r="E656" s="178"/>
      <c r="F656" s="178"/>
      <c r="G656" s="178"/>
      <c r="H656" s="178"/>
    </row>
    <row r="657" spans="1:8" ht="12.75">
      <c r="A657" s="178"/>
      <c r="B657" s="178"/>
      <c r="C657" s="178"/>
      <c r="D657" s="178"/>
      <c r="E657" s="178"/>
      <c r="F657" s="178"/>
      <c r="G657" s="178"/>
      <c r="H657" s="178"/>
    </row>
    <row r="658" spans="1:8" ht="12.75">
      <c r="A658" s="178"/>
      <c r="B658" s="178"/>
      <c r="C658" s="178"/>
      <c r="D658" s="178"/>
      <c r="E658" s="178"/>
      <c r="F658" s="178"/>
      <c r="G658" s="178"/>
      <c r="H658" s="178"/>
    </row>
    <row r="659" spans="1:8" ht="12.75">
      <c r="A659" s="178"/>
      <c r="B659" s="178"/>
      <c r="C659" s="178"/>
      <c r="D659" s="178"/>
      <c r="E659" s="178"/>
      <c r="F659" s="178"/>
      <c r="G659" s="178"/>
      <c r="H659" s="178"/>
    </row>
    <row r="660" spans="1:8" ht="12.75">
      <c r="A660" s="178"/>
      <c r="B660" s="178"/>
      <c r="C660" s="178"/>
      <c r="D660" s="178"/>
      <c r="E660" s="178"/>
      <c r="F660" s="178"/>
      <c r="G660" s="178"/>
      <c r="H660" s="178"/>
    </row>
    <row r="661" spans="1:8" ht="12.75">
      <c r="A661" s="178"/>
      <c r="B661" s="178"/>
      <c r="C661" s="178"/>
      <c r="D661" s="178"/>
      <c r="E661" s="178"/>
      <c r="F661" s="178"/>
      <c r="G661" s="178"/>
      <c r="H661" s="178"/>
    </row>
    <row r="662" spans="1:8" ht="12.75">
      <c r="A662" s="178"/>
      <c r="B662" s="178"/>
      <c r="C662" s="178"/>
      <c r="D662" s="178"/>
      <c r="E662" s="178"/>
      <c r="F662" s="178"/>
      <c r="G662" s="178"/>
      <c r="H662" s="178"/>
    </row>
    <row r="663" spans="1:8" ht="12.75">
      <c r="A663" s="178"/>
      <c r="B663" s="178"/>
      <c r="C663" s="178"/>
      <c r="D663" s="178"/>
      <c r="E663" s="178"/>
      <c r="F663" s="178"/>
      <c r="G663" s="178"/>
      <c r="H663" s="178"/>
    </row>
    <row r="664" spans="1:8" ht="12.75">
      <c r="A664" s="178"/>
      <c r="B664" s="178"/>
      <c r="C664" s="178"/>
      <c r="D664" s="178"/>
      <c r="E664" s="178"/>
      <c r="F664" s="178"/>
      <c r="G664" s="178"/>
      <c r="H664" s="178"/>
    </row>
    <row r="665" spans="1:8" ht="12.75">
      <c r="A665" s="178"/>
      <c r="B665" s="178"/>
      <c r="C665" s="178"/>
      <c r="D665" s="178"/>
      <c r="E665" s="178"/>
      <c r="F665" s="178"/>
      <c r="G665" s="178"/>
      <c r="H665" s="178"/>
    </row>
    <row r="666" spans="1:8" ht="12.75">
      <c r="A666" s="178"/>
      <c r="B666" s="178"/>
      <c r="C666" s="178"/>
      <c r="D666" s="178"/>
      <c r="E666" s="178"/>
      <c r="F666" s="178"/>
      <c r="G666" s="178"/>
      <c r="H666" s="178"/>
    </row>
    <row r="667" spans="1:8" ht="12.75">
      <c r="A667" s="178"/>
      <c r="B667" s="178"/>
      <c r="C667" s="178"/>
      <c r="D667" s="178"/>
      <c r="E667" s="178"/>
      <c r="F667" s="178"/>
      <c r="G667" s="178"/>
      <c r="H667" s="178"/>
    </row>
    <row r="668" spans="1:8" ht="12.75">
      <c r="A668" s="178"/>
      <c r="B668" s="178"/>
      <c r="C668" s="178"/>
      <c r="D668" s="178"/>
      <c r="E668" s="178"/>
      <c r="F668" s="178"/>
      <c r="G668" s="178"/>
      <c r="H668" s="178"/>
    </row>
    <row r="669" spans="1:8" ht="12.75">
      <c r="A669" s="178"/>
      <c r="B669" s="178"/>
      <c r="C669" s="178"/>
      <c r="D669" s="178"/>
      <c r="E669" s="178"/>
      <c r="F669" s="178"/>
      <c r="G669" s="178"/>
      <c r="H669" s="178"/>
    </row>
    <row r="670" spans="1:8" ht="12.75">
      <c r="A670" s="178"/>
      <c r="B670" s="178"/>
      <c r="C670" s="178"/>
      <c r="D670" s="178"/>
      <c r="E670" s="178"/>
      <c r="F670" s="178"/>
      <c r="G670" s="178"/>
      <c r="H670" s="178"/>
    </row>
    <row r="671" spans="1:8" ht="12.75">
      <c r="A671" s="178"/>
      <c r="B671" s="178"/>
      <c r="C671" s="178"/>
      <c r="D671" s="178"/>
      <c r="E671" s="178"/>
      <c r="F671" s="178"/>
      <c r="G671" s="178"/>
      <c r="H671" s="178"/>
    </row>
    <row r="672" spans="1:8" ht="12.75">
      <c r="A672" s="178"/>
      <c r="B672" s="178"/>
      <c r="C672" s="178"/>
      <c r="D672" s="178"/>
      <c r="E672" s="178"/>
      <c r="F672" s="178"/>
      <c r="G672" s="178"/>
      <c r="H672" s="178"/>
    </row>
    <row r="673" spans="1:8" ht="12.75">
      <c r="A673" s="178"/>
      <c r="B673" s="178"/>
      <c r="C673" s="178"/>
      <c r="D673" s="178"/>
      <c r="E673" s="178"/>
      <c r="F673" s="178"/>
      <c r="G673" s="178"/>
      <c r="H673" s="178"/>
    </row>
    <row r="674" spans="1:8" ht="12.75">
      <c r="A674" s="178"/>
      <c r="B674" s="178"/>
      <c r="C674" s="178"/>
      <c r="D674" s="178"/>
      <c r="E674" s="178"/>
      <c r="F674" s="178"/>
      <c r="G674" s="178"/>
      <c r="H674" s="178"/>
    </row>
    <row r="675" spans="1:8" ht="12.75">
      <c r="A675" s="178"/>
      <c r="B675" s="178"/>
      <c r="C675" s="178"/>
      <c r="D675" s="178"/>
      <c r="E675" s="178"/>
      <c r="F675" s="178"/>
      <c r="G675" s="178"/>
      <c r="H675" s="178"/>
    </row>
    <row r="676" spans="1:8" ht="12.75">
      <c r="A676" s="178"/>
      <c r="B676" s="178"/>
      <c r="C676" s="178"/>
      <c r="D676" s="178"/>
      <c r="E676" s="178"/>
      <c r="F676" s="178"/>
      <c r="G676" s="178"/>
      <c r="H676" s="178"/>
    </row>
    <row r="677" spans="1:8" ht="12.75">
      <c r="A677" s="178"/>
      <c r="B677" s="178"/>
      <c r="C677" s="178"/>
      <c r="D677" s="178"/>
      <c r="E677" s="178"/>
      <c r="F677" s="178"/>
      <c r="G677" s="178"/>
      <c r="H677" s="178"/>
    </row>
    <row r="678" spans="1:8" ht="12.75">
      <c r="A678" s="178"/>
      <c r="B678" s="178"/>
      <c r="C678" s="178"/>
      <c r="D678" s="178"/>
      <c r="E678" s="178"/>
      <c r="F678" s="178"/>
      <c r="G678" s="178"/>
      <c r="H678" s="178"/>
    </row>
    <row r="679" spans="1:8" ht="12.75">
      <c r="A679" s="178"/>
      <c r="B679" s="178"/>
      <c r="C679" s="178"/>
      <c r="D679" s="178"/>
      <c r="E679" s="178"/>
      <c r="F679" s="178"/>
      <c r="G679" s="178"/>
      <c r="H679" s="178"/>
    </row>
    <row r="680" spans="1:8" ht="12.75">
      <c r="A680" s="178"/>
      <c r="B680" s="178"/>
      <c r="C680" s="178"/>
      <c r="D680" s="178"/>
      <c r="E680" s="178"/>
      <c r="F680" s="178"/>
      <c r="G680" s="178"/>
      <c r="H680" s="178"/>
    </row>
    <row r="681" spans="1:8" ht="12.75">
      <c r="A681" s="178"/>
      <c r="B681" s="178"/>
      <c r="C681" s="178"/>
      <c r="D681" s="178"/>
      <c r="E681" s="178"/>
      <c r="F681" s="178"/>
      <c r="G681" s="178"/>
      <c r="H681" s="178"/>
    </row>
    <row r="682" spans="1:8" ht="12.75">
      <c r="A682" s="178"/>
      <c r="B682" s="178"/>
      <c r="C682" s="178"/>
      <c r="D682" s="178"/>
      <c r="E682" s="178"/>
      <c r="F682" s="178"/>
      <c r="G682" s="178"/>
      <c r="H682" s="178"/>
    </row>
    <row r="683" spans="1:8" ht="12.75">
      <c r="A683" s="178"/>
      <c r="B683" s="178"/>
      <c r="C683" s="178"/>
      <c r="D683" s="178"/>
      <c r="E683" s="178"/>
      <c r="F683" s="178"/>
      <c r="G683" s="178"/>
      <c r="H683" s="178"/>
    </row>
    <row r="684" spans="1:8" ht="12.75">
      <c r="A684" s="178"/>
      <c r="B684" s="178"/>
      <c r="C684" s="178"/>
      <c r="D684" s="178"/>
      <c r="E684" s="178"/>
      <c r="F684" s="178"/>
      <c r="G684" s="178"/>
      <c r="H684" s="178"/>
    </row>
    <row r="685" spans="1:8" ht="12.75">
      <c r="A685" s="178"/>
      <c r="B685" s="178"/>
      <c r="C685" s="178"/>
      <c r="D685" s="178"/>
      <c r="E685" s="178"/>
      <c r="F685" s="178"/>
      <c r="G685" s="178"/>
      <c r="H685" s="178"/>
    </row>
    <row r="686" spans="1:8" ht="12.75">
      <c r="A686" s="178"/>
      <c r="B686" s="178"/>
      <c r="C686" s="178"/>
      <c r="D686" s="178"/>
      <c r="E686" s="178"/>
      <c r="F686" s="178"/>
      <c r="G686" s="178"/>
      <c r="H686" s="178"/>
    </row>
    <row r="687" spans="1:8" ht="12.75">
      <c r="A687" s="178"/>
      <c r="B687" s="178"/>
      <c r="C687" s="178"/>
      <c r="D687" s="178"/>
      <c r="E687" s="178"/>
      <c r="F687" s="178"/>
      <c r="G687" s="178"/>
      <c r="H687" s="178"/>
    </row>
    <row r="688" spans="1:8" ht="12.75">
      <c r="A688" s="178"/>
      <c r="B688" s="178"/>
      <c r="C688" s="178"/>
      <c r="D688" s="178"/>
      <c r="E688" s="178"/>
      <c r="F688" s="178"/>
      <c r="G688" s="178"/>
      <c r="H688" s="178"/>
    </row>
    <row r="689" spans="1:8" ht="12.75">
      <c r="A689" s="178"/>
      <c r="B689" s="178"/>
      <c r="C689" s="178"/>
      <c r="D689" s="178"/>
      <c r="E689" s="178"/>
      <c r="F689" s="178"/>
      <c r="G689" s="178"/>
      <c r="H689" s="178"/>
    </row>
    <row r="690" spans="1:8" ht="12.75">
      <c r="A690" s="178"/>
      <c r="B690" s="178"/>
      <c r="C690" s="178"/>
      <c r="D690" s="178"/>
      <c r="E690" s="178"/>
      <c r="F690" s="178"/>
      <c r="G690" s="178"/>
      <c r="H690" s="178"/>
    </row>
    <row r="691" spans="1:8" ht="12.75">
      <c r="A691" s="178"/>
      <c r="B691" s="178"/>
      <c r="C691" s="178"/>
      <c r="D691" s="178"/>
      <c r="E691" s="178"/>
      <c r="F691" s="178"/>
      <c r="G691" s="178"/>
      <c r="H691" s="178"/>
    </row>
    <row r="692" spans="1:8" ht="12.75">
      <c r="A692" s="178"/>
      <c r="B692" s="178"/>
      <c r="C692" s="178"/>
      <c r="D692" s="178"/>
      <c r="E692" s="178"/>
      <c r="F692" s="178"/>
      <c r="G692" s="178"/>
      <c r="H692" s="178"/>
    </row>
    <row r="693" spans="1:8" ht="12.75">
      <c r="A693" s="178"/>
      <c r="B693" s="178"/>
      <c r="C693" s="178"/>
      <c r="D693" s="178"/>
      <c r="E693" s="178"/>
      <c r="F693" s="178"/>
      <c r="G693" s="178"/>
      <c r="H693" s="178"/>
    </row>
    <row r="694" spans="1:8" ht="12.75">
      <c r="A694" s="178"/>
      <c r="B694" s="178"/>
      <c r="C694" s="178"/>
      <c r="D694" s="178"/>
      <c r="E694" s="178"/>
      <c r="F694" s="178"/>
      <c r="G694" s="178"/>
      <c r="H694" s="178"/>
    </row>
    <row r="695" spans="1:8" ht="12.75">
      <c r="A695" s="178"/>
      <c r="B695" s="178"/>
      <c r="C695" s="178"/>
      <c r="D695" s="178"/>
      <c r="E695" s="178"/>
      <c r="F695" s="178"/>
      <c r="G695" s="178"/>
      <c r="H695" s="178"/>
    </row>
    <row r="696" spans="1:8" ht="12.75">
      <c r="A696" s="178"/>
      <c r="B696" s="178"/>
      <c r="C696" s="178"/>
      <c r="D696" s="178"/>
      <c r="E696" s="178"/>
      <c r="F696" s="178"/>
      <c r="G696" s="178"/>
      <c r="H696" s="178"/>
    </row>
    <row r="697" spans="1:8" ht="12.75">
      <c r="A697" s="178"/>
      <c r="B697" s="178"/>
      <c r="C697" s="178"/>
      <c r="D697" s="178"/>
      <c r="E697" s="178"/>
      <c r="F697" s="178"/>
      <c r="G697" s="178"/>
      <c r="H697" s="178"/>
    </row>
    <row r="698" spans="1:8" ht="12.75">
      <c r="A698" s="178"/>
      <c r="B698" s="178"/>
      <c r="C698" s="178"/>
      <c r="D698" s="178"/>
      <c r="E698" s="178"/>
      <c r="F698" s="178"/>
      <c r="G698" s="178"/>
      <c r="H698" s="178"/>
    </row>
    <row r="699" spans="1:8" ht="12.75">
      <c r="A699" s="178"/>
      <c r="B699" s="178"/>
      <c r="C699" s="178"/>
      <c r="D699" s="178"/>
      <c r="E699" s="178"/>
      <c r="F699" s="178"/>
      <c r="G699" s="178"/>
      <c r="H699" s="178"/>
    </row>
    <row r="700" spans="1:8" ht="12.75">
      <c r="A700" s="178"/>
      <c r="B700" s="178"/>
      <c r="C700" s="178"/>
      <c r="D700" s="178"/>
      <c r="E700" s="178"/>
      <c r="F700" s="178"/>
      <c r="G700" s="178"/>
      <c r="H700" s="178"/>
    </row>
    <row r="701" spans="1:8" ht="12.75">
      <c r="A701" s="178"/>
      <c r="B701" s="178"/>
      <c r="C701" s="178"/>
      <c r="D701" s="178"/>
      <c r="E701" s="178"/>
      <c r="F701" s="178"/>
      <c r="G701" s="178"/>
      <c r="H701" s="178"/>
    </row>
    <row r="702" spans="1:8" ht="12.75">
      <c r="A702" s="178"/>
      <c r="B702" s="178"/>
      <c r="C702" s="178"/>
      <c r="D702" s="178"/>
      <c r="E702" s="178"/>
      <c r="F702" s="178"/>
      <c r="G702" s="178"/>
      <c r="H702" s="178"/>
    </row>
    <row r="703" spans="1:8" ht="12.75">
      <c r="A703" s="178"/>
      <c r="B703" s="178"/>
      <c r="C703" s="178"/>
      <c r="D703" s="178"/>
      <c r="E703" s="178"/>
      <c r="F703" s="178"/>
      <c r="G703" s="178"/>
      <c r="H703" s="178"/>
    </row>
    <row r="704" spans="1:8" ht="12.75">
      <c r="A704" s="178"/>
      <c r="B704" s="178"/>
      <c r="C704" s="178"/>
      <c r="D704" s="178"/>
      <c r="E704" s="178"/>
      <c r="F704" s="178"/>
      <c r="G704" s="178"/>
      <c r="H704" s="178"/>
    </row>
    <row r="705" spans="1:8" ht="12.75">
      <c r="A705" s="178"/>
      <c r="B705" s="178"/>
      <c r="C705" s="178"/>
      <c r="D705" s="178"/>
      <c r="E705" s="178"/>
      <c r="F705" s="178"/>
      <c r="G705" s="178"/>
      <c r="H705" s="178"/>
    </row>
    <row r="706" spans="1:8" ht="12.75">
      <c r="A706" s="178"/>
      <c r="B706" s="178"/>
      <c r="C706" s="178"/>
      <c r="D706" s="178"/>
      <c r="E706" s="178"/>
      <c r="F706" s="178"/>
      <c r="G706" s="178"/>
      <c r="H706" s="178"/>
    </row>
    <row r="707" spans="1:8" ht="12.75">
      <c r="A707" s="178"/>
      <c r="B707" s="178"/>
      <c r="C707" s="178"/>
      <c r="D707" s="178"/>
      <c r="E707" s="178"/>
      <c r="F707" s="178"/>
      <c r="G707" s="178"/>
      <c r="H707" s="178"/>
    </row>
    <row r="708" spans="1:8" ht="12.75">
      <c r="A708" s="178"/>
      <c r="B708" s="178"/>
      <c r="C708" s="178"/>
      <c r="D708" s="178"/>
      <c r="E708" s="178"/>
      <c r="F708" s="178"/>
      <c r="G708" s="178"/>
      <c r="H708" s="178"/>
    </row>
    <row r="709" spans="1:8" ht="12.75">
      <c r="A709" s="178"/>
      <c r="B709" s="178"/>
      <c r="C709" s="178"/>
      <c r="D709" s="178"/>
      <c r="E709" s="178"/>
      <c r="F709" s="178"/>
      <c r="G709" s="178"/>
      <c r="H709" s="178"/>
    </row>
    <row r="710" spans="1:8" ht="12.75">
      <c r="A710" s="178"/>
      <c r="B710" s="178"/>
      <c r="C710" s="178"/>
      <c r="D710" s="178"/>
      <c r="E710" s="178"/>
      <c r="F710" s="178"/>
      <c r="G710" s="178"/>
      <c r="H710" s="178"/>
    </row>
    <row r="711" spans="1:8" ht="12.75">
      <c r="A711" s="178"/>
      <c r="B711" s="178"/>
      <c r="C711" s="178"/>
      <c r="D711" s="178"/>
      <c r="E711" s="178"/>
      <c r="F711" s="178"/>
      <c r="G711" s="178"/>
      <c r="H711" s="178"/>
    </row>
    <row r="712" spans="1:8" ht="12.75">
      <c r="A712" s="178"/>
      <c r="B712" s="178"/>
      <c r="C712" s="178"/>
      <c r="D712" s="178"/>
      <c r="E712" s="178"/>
      <c r="F712" s="178"/>
      <c r="G712" s="178"/>
      <c r="H712" s="178"/>
    </row>
    <row r="713" spans="1:8" ht="12.75">
      <c r="A713" s="178"/>
      <c r="B713" s="178"/>
      <c r="C713" s="178"/>
      <c r="D713" s="178"/>
      <c r="E713" s="178"/>
      <c r="F713" s="178"/>
      <c r="G713" s="178"/>
      <c r="H713" s="178"/>
    </row>
    <row r="714" spans="1:8" ht="12.75">
      <c r="A714" s="178"/>
      <c r="B714" s="178"/>
      <c r="C714" s="178"/>
      <c r="D714" s="178"/>
      <c r="E714" s="178"/>
      <c r="F714" s="178"/>
      <c r="G714" s="178"/>
      <c r="H714" s="178"/>
    </row>
    <row r="715" spans="1:8" ht="12.75">
      <c r="A715" s="178"/>
      <c r="B715" s="178"/>
      <c r="C715" s="178"/>
      <c r="D715" s="178"/>
      <c r="E715" s="178"/>
      <c r="F715" s="178"/>
      <c r="G715" s="178"/>
      <c r="H715" s="178"/>
    </row>
    <row r="716" spans="1:8" ht="12.75">
      <c r="A716" s="178"/>
      <c r="B716" s="178"/>
      <c r="C716" s="178"/>
      <c r="D716" s="178"/>
      <c r="E716" s="178"/>
      <c r="F716" s="178"/>
      <c r="G716" s="178"/>
      <c r="H716" s="178"/>
    </row>
    <row r="717" spans="1:8" ht="12.75">
      <c r="A717" s="178"/>
      <c r="B717" s="178"/>
      <c r="C717" s="178"/>
      <c r="D717" s="178"/>
      <c r="E717" s="178"/>
      <c r="F717" s="178"/>
      <c r="G717" s="178"/>
      <c r="H717" s="178"/>
    </row>
    <row r="718" spans="1:8" ht="12.75">
      <c r="A718" s="178"/>
      <c r="B718" s="178"/>
      <c r="C718" s="178"/>
      <c r="D718" s="178"/>
      <c r="E718" s="178"/>
      <c r="F718" s="178"/>
      <c r="G718" s="178"/>
      <c r="H718" s="178"/>
    </row>
    <row r="719" spans="1:8" ht="12.75">
      <c r="A719" s="178"/>
      <c r="B719" s="178"/>
      <c r="C719" s="178"/>
      <c r="D719" s="178"/>
      <c r="E719" s="178"/>
      <c r="F719" s="178"/>
      <c r="G719" s="178"/>
      <c r="H719" s="178"/>
    </row>
    <row r="720" spans="1:8" ht="12.75">
      <c r="A720" s="178"/>
      <c r="B720" s="178"/>
      <c r="C720" s="178"/>
      <c r="D720" s="178"/>
      <c r="E720" s="178"/>
      <c r="F720" s="178"/>
      <c r="G720" s="178"/>
      <c r="H720" s="178"/>
    </row>
    <row r="721" spans="1:8" ht="12.75">
      <c r="A721" s="178"/>
      <c r="B721" s="178"/>
      <c r="C721" s="178"/>
      <c r="D721" s="178"/>
      <c r="E721" s="178"/>
      <c r="F721" s="178"/>
      <c r="G721" s="178"/>
      <c r="H721" s="178"/>
    </row>
    <row r="722" spans="1:8" ht="12.75">
      <c r="A722" s="178"/>
      <c r="B722" s="178"/>
      <c r="C722" s="178"/>
      <c r="D722" s="178"/>
      <c r="E722" s="178"/>
      <c r="F722" s="178"/>
      <c r="G722" s="178"/>
      <c r="H722" s="178"/>
    </row>
    <row r="723" spans="1:8" ht="12.75">
      <c r="A723" s="178"/>
      <c r="B723" s="178"/>
      <c r="C723" s="178"/>
      <c r="D723" s="178"/>
      <c r="E723" s="178"/>
      <c r="F723" s="178"/>
      <c r="G723" s="178"/>
      <c r="H723" s="178"/>
    </row>
    <row r="724" spans="1:8" ht="12.75">
      <c r="A724" s="178"/>
      <c r="B724" s="178"/>
      <c r="C724" s="178"/>
      <c r="D724" s="178"/>
      <c r="E724" s="178"/>
      <c r="F724" s="178"/>
      <c r="G724" s="178"/>
      <c r="H724" s="178"/>
    </row>
    <row r="725" spans="1:8" ht="12.75">
      <c r="A725" s="178"/>
      <c r="B725" s="178"/>
      <c r="C725" s="178"/>
      <c r="D725" s="178"/>
      <c r="E725" s="178"/>
      <c r="F725" s="178"/>
      <c r="G725" s="178"/>
      <c r="H725" s="178"/>
    </row>
    <row r="726" spans="1:8" ht="12.75">
      <c r="A726" s="178"/>
      <c r="B726" s="178"/>
      <c r="C726" s="178"/>
      <c r="D726" s="178"/>
      <c r="E726" s="178"/>
      <c r="F726" s="178"/>
      <c r="G726" s="178"/>
      <c r="H726" s="178"/>
    </row>
    <row r="727" spans="1:8" ht="12.75">
      <c r="A727" s="178"/>
      <c r="B727" s="178"/>
      <c r="C727" s="178"/>
      <c r="D727" s="178"/>
      <c r="E727" s="178"/>
      <c r="F727" s="178"/>
      <c r="G727" s="178"/>
      <c r="H727" s="178"/>
    </row>
    <row r="728" spans="1:8" ht="12.75">
      <c r="A728" s="178"/>
      <c r="B728" s="178"/>
      <c r="C728" s="178"/>
      <c r="D728" s="178"/>
      <c r="E728" s="178"/>
      <c r="F728" s="178"/>
      <c r="G728" s="178"/>
      <c r="H728" s="178"/>
    </row>
    <row r="729" spans="1:8" ht="12.75">
      <c r="A729" s="178"/>
      <c r="B729" s="178"/>
      <c r="C729" s="178"/>
      <c r="D729" s="178"/>
      <c r="E729" s="178"/>
      <c r="F729" s="178"/>
      <c r="G729" s="178"/>
      <c r="H729" s="178"/>
    </row>
    <row r="730" spans="1:8" ht="12.75">
      <c r="A730" s="178"/>
      <c r="B730" s="178"/>
      <c r="C730" s="178"/>
      <c r="D730" s="178"/>
      <c r="E730" s="178"/>
      <c r="F730" s="178"/>
      <c r="G730" s="178"/>
      <c r="H730" s="178"/>
    </row>
    <row r="731" spans="1:8" ht="12.75">
      <c r="A731" s="178"/>
      <c r="B731" s="178"/>
      <c r="C731" s="178"/>
      <c r="D731" s="178"/>
      <c r="E731" s="178"/>
      <c r="F731" s="178"/>
      <c r="G731" s="178"/>
      <c r="H731" s="178"/>
    </row>
    <row r="732" spans="1:8" ht="12.75">
      <c r="A732" s="178"/>
      <c r="B732" s="178"/>
      <c r="C732" s="178"/>
      <c r="D732" s="178"/>
      <c r="E732" s="178"/>
      <c r="F732" s="178"/>
      <c r="G732" s="178"/>
      <c r="H732" s="178"/>
    </row>
    <row r="733" spans="1:8" ht="12.75">
      <c r="A733" s="178"/>
      <c r="B733" s="178"/>
      <c r="C733" s="178"/>
      <c r="D733" s="178"/>
      <c r="E733" s="178"/>
      <c r="F733" s="178"/>
      <c r="G733" s="178"/>
      <c r="H733" s="178"/>
    </row>
    <row r="734" spans="1:8" ht="12.75">
      <c r="A734" s="178"/>
      <c r="B734" s="178"/>
      <c r="C734" s="178"/>
      <c r="D734" s="178"/>
      <c r="E734" s="178"/>
      <c r="F734" s="178"/>
      <c r="G734" s="178"/>
      <c r="H734" s="178"/>
    </row>
    <row r="735" spans="1:8" ht="12.75">
      <c r="A735" s="178"/>
      <c r="B735" s="178"/>
      <c r="C735" s="178"/>
      <c r="D735" s="178"/>
      <c r="E735" s="178"/>
      <c r="F735" s="178"/>
      <c r="G735" s="178"/>
      <c r="H735" s="178"/>
    </row>
    <row r="736" spans="1:8" ht="12.75">
      <c r="A736" s="178"/>
      <c r="B736" s="178"/>
      <c r="C736" s="178"/>
      <c r="D736" s="178"/>
      <c r="E736" s="178"/>
      <c r="F736" s="178"/>
      <c r="G736" s="178"/>
      <c r="H736" s="178"/>
    </row>
    <row r="737" spans="1:8" ht="12.75">
      <c r="A737" s="178"/>
      <c r="B737" s="178"/>
      <c r="C737" s="178"/>
      <c r="D737" s="178"/>
      <c r="E737" s="178"/>
      <c r="F737" s="178"/>
      <c r="G737" s="178"/>
      <c r="H737" s="178"/>
    </row>
    <row r="738" spans="1:8" ht="12.75">
      <c r="A738" s="178"/>
      <c r="B738" s="178"/>
      <c r="C738" s="178"/>
      <c r="D738" s="178"/>
      <c r="E738" s="178"/>
      <c r="F738" s="178"/>
      <c r="G738" s="178"/>
      <c r="H738" s="178"/>
    </row>
    <row r="739" spans="1:8" ht="12.75">
      <c r="A739" s="178"/>
      <c r="B739" s="178"/>
      <c r="C739" s="178"/>
      <c r="D739" s="178"/>
      <c r="E739" s="178"/>
      <c r="F739" s="178"/>
      <c r="G739" s="178"/>
      <c r="H739" s="178"/>
    </row>
    <row r="740" spans="1:8" ht="12.75">
      <c r="A740" s="178"/>
      <c r="B740" s="178"/>
      <c r="C740" s="178"/>
      <c r="D740" s="178"/>
      <c r="E740" s="178"/>
      <c r="F740" s="178"/>
      <c r="G740" s="178"/>
      <c r="H740" s="178"/>
    </row>
    <row r="741" spans="1:8" ht="12.75">
      <c r="A741" s="178"/>
      <c r="B741" s="178"/>
      <c r="C741" s="178"/>
      <c r="D741" s="178"/>
      <c r="E741" s="178"/>
      <c r="F741" s="178"/>
      <c r="G741" s="178"/>
      <c r="H741" s="178"/>
    </row>
    <row r="742" spans="1:8" ht="12.75">
      <c r="A742" s="178"/>
      <c r="B742" s="178"/>
      <c r="C742" s="178"/>
      <c r="D742" s="178"/>
      <c r="E742" s="178"/>
      <c r="F742" s="178"/>
      <c r="G742" s="178"/>
      <c r="H742" s="178"/>
    </row>
    <row r="743" spans="1:8" ht="12.75">
      <c r="A743" s="178"/>
      <c r="B743" s="178"/>
      <c r="C743" s="178"/>
      <c r="D743" s="178"/>
      <c r="E743" s="178"/>
      <c r="F743" s="178"/>
      <c r="G743" s="178"/>
      <c r="H743" s="178"/>
    </row>
    <row r="744" spans="1:8" ht="12.75">
      <c r="A744" s="178"/>
      <c r="B744" s="178"/>
      <c r="C744" s="178"/>
      <c r="D744" s="178"/>
      <c r="E744" s="178"/>
      <c r="F744" s="178"/>
      <c r="G744" s="178"/>
      <c r="H744" s="178"/>
    </row>
    <row r="745" spans="1:8" ht="12.75">
      <c r="A745" s="178"/>
      <c r="B745" s="178"/>
      <c r="C745" s="178"/>
      <c r="D745" s="178"/>
      <c r="E745" s="178"/>
      <c r="F745" s="178"/>
      <c r="G745" s="178"/>
      <c r="H745" s="178"/>
    </row>
    <row r="746" spans="1:8" ht="12.75">
      <c r="A746" s="178"/>
      <c r="B746" s="178"/>
      <c r="C746" s="178"/>
      <c r="D746" s="178"/>
      <c r="E746" s="178"/>
      <c r="F746" s="178"/>
      <c r="G746" s="178"/>
      <c r="H746" s="178"/>
    </row>
    <row r="747" spans="1:8" ht="12.75">
      <c r="A747" s="178"/>
      <c r="B747" s="178"/>
      <c r="C747" s="178"/>
      <c r="D747" s="178"/>
      <c r="E747" s="178"/>
      <c r="F747" s="178"/>
      <c r="G747" s="178"/>
      <c r="H747" s="178"/>
    </row>
    <row r="748" spans="1:8" ht="12.75">
      <c r="A748" s="178"/>
      <c r="B748" s="178"/>
      <c r="C748" s="178"/>
      <c r="D748" s="178"/>
      <c r="E748" s="178"/>
      <c r="F748" s="178"/>
      <c r="G748" s="178"/>
      <c r="H748" s="178"/>
    </row>
    <row r="749" spans="1:8" ht="12.75">
      <c r="A749" s="178"/>
      <c r="B749" s="178"/>
      <c r="C749" s="178"/>
      <c r="D749" s="178"/>
      <c r="E749" s="178"/>
      <c r="F749" s="178"/>
      <c r="G749" s="178"/>
      <c r="H749" s="178"/>
    </row>
    <row r="750" spans="1:8" ht="12.75">
      <c r="A750" s="178"/>
      <c r="B750" s="178"/>
      <c r="C750" s="178"/>
      <c r="D750" s="178"/>
      <c r="E750" s="178"/>
      <c r="F750" s="178"/>
      <c r="G750" s="178"/>
      <c r="H750" s="178"/>
    </row>
    <row r="751" spans="1:8" ht="12.75">
      <c r="A751" s="178"/>
      <c r="B751" s="178"/>
      <c r="C751" s="178"/>
      <c r="D751" s="178"/>
      <c r="E751" s="178"/>
      <c r="F751" s="178"/>
      <c r="G751" s="178"/>
      <c r="H751" s="178"/>
    </row>
    <row r="752" spans="1:8" ht="12.75">
      <c r="A752" s="178"/>
      <c r="B752" s="178"/>
      <c r="C752" s="178"/>
      <c r="D752" s="178"/>
      <c r="E752" s="178"/>
      <c r="F752" s="178"/>
      <c r="G752" s="178"/>
      <c r="H752" s="178"/>
    </row>
    <row r="753" spans="1:8" ht="12.75">
      <c r="A753" s="178"/>
      <c r="B753" s="178"/>
      <c r="C753" s="178"/>
      <c r="D753" s="178"/>
      <c r="E753" s="178"/>
      <c r="F753" s="178"/>
      <c r="G753" s="178"/>
      <c r="H753" s="178"/>
    </row>
    <row r="754" spans="1:8" ht="12.75">
      <c r="A754" s="178"/>
      <c r="B754" s="178"/>
      <c r="C754" s="178"/>
      <c r="D754" s="178"/>
      <c r="E754" s="178"/>
      <c r="F754" s="178"/>
      <c r="G754" s="178"/>
      <c r="H754" s="178"/>
    </row>
    <row r="755" spans="1:8" ht="12.75">
      <c r="A755" s="178"/>
      <c r="B755" s="178"/>
      <c r="C755" s="178"/>
      <c r="D755" s="178"/>
      <c r="E755" s="178"/>
      <c r="F755" s="178"/>
      <c r="G755" s="178"/>
      <c r="H755" s="178"/>
    </row>
    <row r="756" spans="1:8" ht="12.75">
      <c r="A756" s="178"/>
      <c r="B756" s="178"/>
      <c r="C756" s="178"/>
      <c r="D756" s="178"/>
      <c r="E756" s="178"/>
      <c r="F756" s="178"/>
      <c r="G756" s="178"/>
      <c r="H756" s="178"/>
    </row>
    <row r="757" spans="1:8" ht="12.75">
      <c r="A757" s="178"/>
      <c r="B757" s="178"/>
      <c r="C757" s="178"/>
      <c r="D757" s="178"/>
      <c r="E757" s="178"/>
      <c r="F757" s="178"/>
      <c r="G757" s="178"/>
      <c r="H757" s="178"/>
    </row>
    <row r="758" spans="1:8" ht="12.75">
      <c r="A758" s="178"/>
      <c r="B758" s="178"/>
      <c r="C758" s="178"/>
      <c r="D758" s="178"/>
      <c r="E758" s="178"/>
      <c r="F758" s="178"/>
      <c r="G758" s="178"/>
      <c r="H758" s="178"/>
    </row>
    <row r="759" spans="1:8" ht="12.75">
      <c r="A759" s="178"/>
      <c r="B759" s="178"/>
      <c r="C759" s="178"/>
      <c r="D759" s="178"/>
      <c r="E759" s="178"/>
      <c r="F759" s="178"/>
      <c r="G759" s="178"/>
      <c r="H759" s="178"/>
    </row>
    <row r="760" spans="1:8" ht="12.75">
      <c r="A760" s="178"/>
      <c r="B760" s="178"/>
      <c r="C760" s="178"/>
      <c r="D760" s="178"/>
      <c r="E760" s="178"/>
      <c r="F760" s="178"/>
      <c r="G760" s="178"/>
      <c r="H760" s="178"/>
    </row>
    <row r="761" spans="1:8" ht="12.75">
      <c r="A761" s="178"/>
      <c r="B761" s="178"/>
      <c r="C761" s="178"/>
      <c r="D761" s="178"/>
      <c r="E761" s="178"/>
      <c r="F761" s="178"/>
      <c r="G761" s="178"/>
      <c r="H761" s="178"/>
    </row>
    <row r="762" spans="1:8" ht="12.75">
      <c r="A762" s="178"/>
      <c r="B762" s="178"/>
      <c r="C762" s="178"/>
      <c r="D762" s="178"/>
      <c r="E762" s="178"/>
      <c r="F762" s="178"/>
      <c r="G762" s="178"/>
      <c r="H762" s="178"/>
    </row>
    <row r="763" spans="1:8" ht="12.75">
      <c r="A763" s="178"/>
      <c r="B763" s="178"/>
      <c r="C763" s="178"/>
      <c r="D763" s="178"/>
      <c r="E763" s="178"/>
      <c r="F763" s="178"/>
      <c r="G763" s="178"/>
      <c r="H763" s="178"/>
    </row>
    <row r="764" spans="1:8" ht="12.75">
      <c r="A764" s="178"/>
      <c r="B764" s="178"/>
      <c r="C764" s="178"/>
      <c r="D764" s="178"/>
      <c r="E764" s="178"/>
      <c r="F764" s="178"/>
      <c r="G764" s="178"/>
      <c r="H764" s="178"/>
    </row>
    <row r="765" spans="1:8" ht="12.75">
      <c r="A765" s="178"/>
      <c r="B765" s="178"/>
      <c r="C765" s="178"/>
      <c r="D765" s="178"/>
      <c r="E765" s="178"/>
      <c r="F765" s="178"/>
      <c r="G765" s="178"/>
      <c r="H765" s="178"/>
    </row>
    <row r="766" spans="1:8" ht="12.75">
      <c r="A766" s="178"/>
      <c r="B766" s="178"/>
      <c r="C766" s="178"/>
      <c r="D766" s="178"/>
      <c r="E766" s="178"/>
      <c r="F766" s="178"/>
      <c r="G766" s="178"/>
      <c r="H766" s="178"/>
    </row>
    <row r="767" spans="1:8" ht="12.75">
      <c r="A767" s="178"/>
      <c r="B767" s="178"/>
      <c r="C767" s="178"/>
      <c r="D767" s="178"/>
      <c r="E767" s="178"/>
      <c r="F767" s="178"/>
      <c r="G767" s="178"/>
      <c r="H767" s="178"/>
    </row>
    <row r="768" spans="1:8" ht="12.75">
      <c r="A768" s="178"/>
      <c r="B768" s="178"/>
      <c r="C768" s="178"/>
      <c r="D768" s="178"/>
      <c r="E768" s="178"/>
      <c r="F768" s="178"/>
      <c r="G768" s="178"/>
      <c r="H768" s="178"/>
    </row>
    <row r="769" spans="1:8" ht="12.75">
      <c r="A769" s="178"/>
      <c r="B769" s="178"/>
      <c r="C769" s="178"/>
      <c r="D769" s="178"/>
      <c r="E769" s="178"/>
      <c r="F769" s="178"/>
      <c r="G769" s="178"/>
      <c r="H769" s="178"/>
    </row>
    <row r="770" spans="1:8" ht="12.75">
      <c r="A770" s="178"/>
      <c r="B770" s="178"/>
      <c r="C770" s="178"/>
      <c r="D770" s="178"/>
      <c r="E770" s="178"/>
      <c r="F770" s="178"/>
      <c r="G770" s="178"/>
      <c r="H770" s="178"/>
    </row>
    <row r="771" spans="1:8" ht="12.75">
      <c r="A771" s="178"/>
      <c r="B771" s="178"/>
      <c r="C771" s="178"/>
      <c r="D771" s="178"/>
      <c r="E771" s="178"/>
      <c r="F771" s="178"/>
      <c r="G771" s="178"/>
      <c r="H771" s="178"/>
    </row>
    <row r="772" spans="1:8" ht="12.75">
      <c r="A772" s="178"/>
      <c r="B772" s="178"/>
      <c r="C772" s="178"/>
      <c r="D772" s="178"/>
      <c r="E772" s="178"/>
      <c r="F772" s="178"/>
      <c r="G772" s="178"/>
      <c r="H772" s="178"/>
    </row>
    <row r="773" spans="1:8" ht="12.75">
      <c r="A773" s="178"/>
      <c r="B773" s="178"/>
      <c r="C773" s="178"/>
      <c r="D773" s="178"/>
      <c r="E773" s="178"/>
      <c r="F773" s="178"/>
      <c r="G773" s="178"/>
      <c r="H773" s="178"/>
    </row>
    <row r="774" spans="1:8" ht="12.75">
      <c r="A774" s="178"/>
      <c r="B774" s="178"/>
      <c r="C774" s="178"/>
      <c r="D774" s="178"/>
      <c r="E774" s="178"/>
      <c r="F774" s="178"/>
      <c r="G774" s="178"/>
      <c r="H774" s="178"/>
    </row>
    <row r="775" spans="1:8" ht="12.75">
      <c r="A775" s="178"/>
      <c r="B775" s="178"/>
      <c r="C775" s="178"/>
      <c r="D775" s="178"/>
      <c r="E775" s="178"/>
      <c r="F775" s="178"/>
      <c r="G775" s="178"/>
      <c r="H775" s="178"/>
    </row>
    <row r="776" spans="1:8" ht="12.75">
      <c r="A776" s="178"/>
      <c r="B776" s="178"/>
      <c r="C776" s="178"/>
      <c r="D776" s="178"/>
      <c r="E776" s="178"/>
      <c r="F776" s="178"/>
      <c r="G776" s="178"/>
      <c r="H776" s="178"/>
    </row>
    <row r="777" spans="1:8" ht="12.75">
      <c r="A777" s="178"/>
      <c r="B777" s="178"/>
      <c r="C777" s="178"/>
      <c r="D777" s="178"/>
      <c r="E777" s="178"/>
      <c r="F777" s="178"/>
      <c r="G777" s="178"/>
      <c r="H777" s="178"/>
    </row>
    <row r="778" spans="1:8" ht="12.75">
      <c r="A778" s="178"/>
      <c r="B778" s="178"/>
      <c r="C778" s="178"/>
      <c r="D778" s="178"/>
      <c r="E778" s="178"/>
      <c r="F778" s="178"/>
      <c r="G778" s="178"/>
      <c r="H778" s="178"/>
    </row>
    <row r="779" spans="1:8" ht="12.75">
      <c r="A779" s="178"/>
      <c r="B779" s="178"/>
      <c r="C779" s="178"/>
      <c r="D779" s="178"/>
      <c r="E779" s="178"/>
      <c r="F779" s="178"/>
      <c r="G779" s="178"/>
      <c r="H779" s="178"/>
    </row>
    <row r="780" spans="1:8" ht="12.75">
      <c r="A780" s="178"/>
      <c r="B780" s="178"/>
      <c r="C780" s="178"/>
      <c r="D780" s="178"/>
      <c r="E780" s="178"/>
      <c r="F780" s="178"/>
      <c r="G780" s="178"/>
      <c r="H780" s="178"/>
    </row>
    <row r="781" spans="1:8" ht="12.75">
      <c r="A781" s="178"/>
      <c r="B781" s="178"/>
      <c r="C781" s="178"/>
      <c r="D781" s="178"/>
      <c r="E781" s="178"/>
      <c r="F781" s="178"/>
      <c r="G781" s="178"/>
      <c r="H781" s="178"/>
    </row>
    <row r="782" spans="1:8" ht="12.75">
      <c r="A782" s="178"/>
      <c r="B782" s="178"/>
      <c r="C782" s="178"/>
      <c r="D782" s="178"/>
      <c r="E782" s="178"/>
      <c r="F782" s="178"/>
      <c r="G782" s="178"/>
      <c r="H782" s="178"/>
    </row>
    <row r="783" spans="1:8" ht="12.75">
      <c r="A783" s="178"/>
      <c r="B783" s="178"/>
      <c r="C783" s="178"/>
      <c r="D783" s="178"/>
      <c r="E783" s="178"/>
      <c r="F783" s="178"/>
      <c r="G783" s="178"/>
      <c r="H783" s="178"/>
    </row>
    <row r="784" spans="1:8" ht="12.75">
      <c r="A784" s="178"/>
      <c r="B784" s="178"/>
      <c r="C784" s="178"/>
      <c r="D784" s="178"/>
      <c r="E784" s="178"/>
      <c r="F784" s="178"/>
      <c r="G784" s="178"/>
      <c r="H784" s="178"/>
    </row>
    <row r="785" spans="1:8" ht="12.75">
      <c r="A785" s="178"/>
      <c r="B785" s="178"/>
      <c r="C785" s="178"/>
      <c r="D785" s="178"/>
      <c r="E785" s="178"/>
      <c r="F785" s="178"/>
      <c r="G785" s="178"/>
      <c r="H785" s="178"/>
    </row>
    <row r="786" spans="1:8" ht="12.75">
      <c r="A786" s="178"/>
      <c r="B786" s="178"/>
      <c r="C786" s="178"/>
      <c r="D786" s="178"/>
      <c r="E786" s="178"/>
      <c r="F786" s="178"/>
      <c r="G786" s="178"/>
      <c r="H786" s="178"/>
    </row>
    <row r="787" spans="1:8" ht="12.75">
      <c r="A787" s="178"/>
      <c r="B787" s="178"/>
      <c r="C787" s="178"/>
      <c r="D787" s="178"/>
      <c r="E787" s="178"/>
      <c r="F787" s="178"/>
      <c r="G787" s="178"/>
      <c r="H787" s="178"/>
    </row>
    <row r="788" spans="1:8" ht="12.75">
      <c r="A788" s="178"/>
      <c r="B788" s="178"/>
      <c r="C788" s="178"/>
      <c r="D788" s="178"/>
      <c r="E788" s="178"/>
      <c r="F788" s="178"/>
      <c r="G788" s="178"/>
      <c r="H788" s="178"/>
    </row>
    <row r="789" spans="1:8" ht="12.75">
      <c r="A789" s="178"/>
      <c r="B789" s="178"/>
      <c r="C789" s="178"/>
      <c r="D789" s="178"/>
      <c r="E789" s="178"/>
      <c r="F789" s="178"/>
      <c r="G789" s="178"/>
      <c r="H789" s="178"/>
    </row>
    <row r="790" spans="1:8" ht="12.75">
      <c r="A790" s="178"/>
      <c r="B790" s="178"/>
      <c r="C790" s="178"/>
      <c r="D790" s="178"/>
      <c r="E790" s="178"/>
      <c r="F790" s="178"/>
      <c r="G790" s="178"/>
      <c r="H790" s="178"/>
    </row>
    <row r="791" spans="1:8" ht="12.75">
      <c r="A791" s="178"/>
      <c r="B791" s="178"/>
      <c r="C791" s="178"/>
      <c r="D791" s="178"/>
      <c r="E791" s="178"/>
      <c r="F791" s="178"/>
      <c r="G791" s="178"/>
      <c r="H791" s="178"/>
    </row>
    <row r="792" spans="1:8" ht="12.75">
      <c r="A792" s="178"/>
      <c r="B792" s="178"/>
      <c r="C792" s="178"/>
      <c r="D792" s="178"/>
      <c r="E792" s="178"/>
      <c r="F792" s="178"/>
      <c r="G792" s="178"/>
      <c r="H792" s="178"/>
    </row>
    <row r="793" spans="1:8" ht="12.75">
      <c r="A793" s="178"/>
      <c r="B793" s="178"/>
      <c r="C793" s="178"/>
      <c r="D793" s="178"/>
      <c r="E793" s="178"/>
      <c r="F793" s="178"/>
      <c r="G793" s="178"/>
      <c r="H793" s="178"/>
    </row>
    <row r="794" spans="1:8" ht="12.75">
      <c r="A794" s="178"/>
      <c r="B794" s="178"/>
      <c r="C794" s="178"/>
      <c r="D794" s="178"/>
      <c r="E794" s="178"/>
      <c r="F794" s="178"/>
      <c r="G794" s="178"/>
      <c r="H794" s="178"/>
    </row>
    <row r="795" spans="1:8" ht="12.75">
      <c r="A795" s="178"/>
      <c r="B795" s="178"/>
      <c r="C795" s="178"/>
      <c r="D795" s="178"/>
      <c r="E795" s="178"/>
      <c r="F795" s="178"/>
      <c r="G795" s="178"/>
      <c r="H795" s="178"/>
    </row>
    <row r="796" spans="1:8" ht="12.75">
      <c r="A796" s="178"/>
      <c r="B796" s="178"/>
      <c r="C796" s="178"/>
      <c r="D796" s="178"/>
      <c r="E796" s="178"/>
      <c r="F796" s="178"/>
      <c r="G796" s="178"/>
      <c r="H796" s="178"/>
    </row>
    <row r="797" spans="1:8" ht="12.75">
      <c r="A797" s="178"/>
      <c r="B797" s="178"/>
      <c r="C797" s="178"/>
      <c r="D797" s="178"/>
      <c r="E797" s="178"/>
      <c r="F797" s="178"/>
      <c r="G797" s="178"/>
      <c r="H797" s="178"/>
    </row>
    <row r="798" spans="1:8" ht="12.75">
      <c r="A798" s="178"/>
      <c r="B798" s="178"/>
      <c r="C798" s="178"/>
      <c r="D798" s="178"/>
      <c r="E798" s="178"/>
      <c r="F798" s="178"/>
      <c r="G798" s="178"/>
      <c r="H798" s="178"/>
    </row>
    <row r="799" spans="1:8" ht="12.75">
      <c r="A799" s="178"/>
      <c r="B799" s="178"/>
      <c r="C799" s="178"/>
      <c r="D799" s="178"/>
      <c r="E799" s="178"/>
      <c r="F799" s="178"/>
      <c r="G799" s="178"/>
      <c r="H799" s="178"/>
    </row>
    <row r="800" spans="1:8" ht="12.75">
      <c r="A800" s="178"/>
      <c r="B800" s="178"/>
      <c r="C800" s="178"/>
      <c r="D800" s="178"/>
      <c r="E800" s="178"/>
      <c r="F800" s="178"/>
      <c r="G800" s="178"/>
      <c r="H800" s="178"/>
    </row>
    <row r="801" spans="1:8" ht="12.75">
      <c r="A801" s="178"/>
      <c r="B801" s="178"/>
      <c r="C801" s="178"/>
      <c r="D801" s="178"/>
      <c r="E801" s="178"/>
      <c r="F801" s="178"/>
      <c r="G801" s="178"/>
      <c r="H801" s="178"/>
    </row>
    <row r="802" spans="1:8" ht="12.75">
      <c r="A802" s="178"/>
      <c r="B802" s="178"/>
      <c r="C802" s="178"/>
      <c r="D802" s="178"/>
      <c r="E802" s="178"/>
      <c r="F802" s="178"/>
      <c r="G802" s="178"/>
      <c r="H802" s="178"/>
    </row>
    <row r="803" spans="1:8" ht="12.75">
      <c r="A803" s="178"/>
      <c r="B803" s="178"/>
      <c r="C803" s="178"/>
      <c r="D803" s="178"/>
      <c r="E803" s="178"/>
      <c r="F803" s="178"/>
      <c r="G803" s="178"/>
      <c r="H803" s="178"/>
    </row>
    <row r="804" spans="1:8" ht="12.75">
      <c r="A804" s="178"/>
      <c r="B804" s="178"/>
      <c r="C804" s="178"/>
      <c r="D804" s="178"/>
      <c r="E804" s="178"/>
      <c r="F804" s="178"/>
      <c r="G804" s="178"/>
      <c r="H804" s="178"/>
    </row>
    <row r="805" spans="1:8" ht="12.75">
      <c r="A805" s="178"/>
      <c r="B805" s="178"/>
      <c r="C805" s="178"/>
      <c r="D805" s="178"/>
      <c r="E805" s="178"/>
      <c r="F805" s="178"/>
      <c r="G805" s="178"/>
      <c r="H805" s="178"/>
    </row>
    <row r="806" spans="1:8" ht="12.75">
      <c r="A806" s="178"/>
      <c r="B806" s="178"/>
      <c r="C806" s="178"/>
      <c r="D806" s="178"/>
      <c r="E806" s="178"/>
      <c r="F806" s="178"/>
      <c r="G806" s="178"/>
      <c r="H806" s="178"/>
    </row>
    <row r="807" spans="1:8" ht="12.75">
      <c r="A807" s="178"/>
      <c r="B807" s="178"/>
      <c r="C807" s="178"/>
      <c r="D807" s="178"/>
      <c r="E807" s="178"/>
      <c r="F807" s="178"/>
      <c r="G807" s="178"/>
      <c r="H807" s="178"/>
    </row>
    <row r="808" spans="1:8" ht="12.75">
      <c r="A808" s="178"/>
      <c r="B808" s="178"/>
      <c r="C808" s="178"/>
      <c r="D808" s="178"/>
      <c r="E808" s="178"/>
      <c r="F808" s="178"/>
      <c r="G808" s="178"/>
      <c r="H808" s="178"/>
    </row>
    <row r="809" spans="1:8" ht="12.75">
      <c r="A809" s="178"/>
      <c r="B809" s="178"/>
      <c r="C809" s="178"/>
      <c r="D809" s="178"/>
      <c r="E809" s="178"/>
      <c r="F809" s="178"/>
      <c r="G809" s="178"/>
      <c r="H809" s="178"/>
    </row>
    <row r="810" spans="1:8" ht="12.75">
      <c r="A810" s="178"/>
      <c r="B810" s="178"/>
      <c r="C810" s="178"/>
      <c r="D810" s="178"/>
      <c r="E810" s="178"/>
      <c r="F810" s="178"/>
      <c r="G810" s="178"/>
      <c r="H810" s="178"/>
    </row>
    <row r="811" spans="1:8" ht="12.75">
      <c r="A811" s="178"/>
      <c r="B811" s="178"/>
      <c r="C811" s="178"/>
      <c r="D811" s="178"/>
      <c r="E811" s="178"/>
      <c r="F811" s="178"/>
      <c r="G811" s="178"/>
      <c r="H811" s="178"/>
    </row>
    <row r="812" spans="1:8" ht="12.75">
      <c r="A812" s="178"/>
      <c r="B812" s="178"/>
      <c r="C812" s="178"/>
      <c r="D812" s="178"/>
      <c r="E812" s="178"/>
      <c r="F812" s="178"/>
      <c r="G812" s="178"/>
      <c r="H812" s="178"/>
    </row>
    <row r="813" spans="1:8" ht="12.75">
      <c r="A813" s="178"/>
      <c r="B813" s="178"/>
      <c r="C813" s="178"/>
      <c r="D813" s="178"/>
      <c r="E813" s="178"/>
      <c r="F813" s="178"/>
      <c r="G813" s="178"/>
      <c r="H813" s="178"/>
    </row>
    <row r="814" spans="1:8" ht="12.75">
      <c r="A814" s="178"/>
      <c r="B814" s="178"/>
      <c r="C814" s="178"/>
      <c r="D814" s="178"/>
      <c r="E814" s="178"/>
      <c r="F814" s="178"/>
      <c r="G814" s="178"/>
      <c r="H814" s="178"/>
    </row>
    <row r="815" spans="1:8" ht="12.75">
      <c r="A815" s="178"/>
      <c r="B815" s="178"/>
      <c r="C815" s="178"/>
      <c r="D815" s="178"/>
      <c r="E815" s="178"/>
      <c r="F815" s="178"/>
      <c r="G815" s="178"/>
      <c r="H815" s="178"/>
    </row>
    <row r="816" spans="1:8" ht="12.75">
      <c r="A816" s="178"/>
      <c r="B816" s="178"/>
      <c r="C816" s="178"/>
      <c r="D816" s="178"/>
      <c r="E816" s="178"/>
      <c r="F816" s="178"/>
      <c r="G816" s="178"/>
      <c r="H816" s="178"/>
    </row>
    <row r="817" spans="1:8" ht="12.75">
      <c r="A817" s="178"/>
      <c r="B817" s="178"/>
      <c r="C817" s="178"/>
      <c r="D817" s="178"/>
      <c r="E817" s="178"/>
      <c r="F817" s="178"/>
      <c r="G817" s="178"/>
      <c r="H817" s="178"/>
    </row>
    <row r="818" spans="1:8" ht="12.75">
      <c r="A818" s="178"/>
      <c r="B818" s="178"/>
      <c r="C818" s="178"/>
      <c r="D818" s="178"/>
      <c r="E818" s="178"/>
      <c r="F818" s="178"/>
      <c r="G818" s="178"/>
      <c r="H818" s="178"/>
    </row>
    <row r="819" spans="1:8" ht="12.75">
      <c r="A819" s="178"/>
      <c r="B819" s="178"/>
      <c r="C819" s="178"/>
      <c r="D819" s="178"/>
      <c r="E819" s="178"/>
      <c r="F819" s="178"/>
      <c r="G819" s="178"/>
      <c r="H819" s="178"/>
    </row>
    <row r="820" spans="1:8" ht="12.75">
      <c r="A820" s="178"/>
      <c r="B820" s="178"/>
      <c r="C820" s="178"/>
      <c r="D820" s="178"/>
      <c r="E820" s="178"/>
      <c r="F820" s="178"/>
      <c r="G820" s="178"/>
      <c r="H820" s="178"/>
    </row>
    <row r="821" spans="1:8" ht="12.75">
      <c r="A821" s="178"/>
      <c r="B821" s="178"/>
      <c r="C821" s="178"/>
      <c r="D821" s="178"/>
      <c r="E821" s="178"/>
      <c r="F821" s="178"/>
      <c r="G821" s="178"/>
      <c r="H821" s="178"/>
    </row>
    <row r="822" spans="1:8" ht="12.75">
      <c r="A822" s="178"/>
      <c r="B822" s="178"/>
      <c r="C822" s="178"/>
      <c r="D822" s="178"/>
      <c r="E822" s="178"/>
      <c r="F822" s="178"/>
      <c r="G822" s="178"/>
      <c r="H822" s="178"/>
    </row>
    <row r="823" spans="1:8" ht="12.75">
      <c r="A823" s="178"/>
      <c r="B823" s="178"/>
      <c r="C823" s="178"/>
      <c r="D823" s="178"/>
      <c r="E823" s="178"/>
      <c r="F823" s="178"/>
      <c r="G823" s="178"/>
      <c r="H823" s="178"/>
    </row>
    <row r="824" spans="1:8" ht="12.75">
      <c r="A824" s="178"/>
      <c r="B824" s="178"/>
      <c r="C824" s="178"/>
      <c r="D824" s="178"/>
      <c r="E824" s="178"/>
      <c r="F824" s="178"/>
      <c r="G824" s="178"/>
      <c r="H824" s="178"/>
    </row>
    <row r="825" spans="1:8" ht="12.75">
      <c r="A825" s="178"/>
      <c r="B825" s="178"/>
      <c r="C825" s="178"/>
      <c r="D825" s="178"/>
      <c r="E825" s="178"/>
      <c r="F825" s="178"/>
      <c r="G825" s="178"/>
      <c r="H825" s="178"/>
    </row>
    <row r="826" spans="1:8" ht="12.75">
      <c r="A826" s="178"/>
      <c r="B826" s="178"/>
      <c r="C826" s="178"/>
      <c r="D826" s="178"/>
      <c r="E826" s="178"/>
      <c r="F826" s="178"/>
      <c r="G826" s="178"/>
      <c r="H826" s="178"/>
    </row>
    <row r="827" spans="1:8" ht="12.75">
      <c r="A827" s="178"/>
      <c r="B827" s="178"/>
      <c r="C827" s="178"/>
      <c r="D827" s="178"/>
      <c r="E827" s="178"/>
      <c r="F827" s="178"/>
      <c r="G827" s="178"/>
      <c r="H827" s="178"/>
    </row>
    <row r="828" spans="1:8" ht="12.75">
      <c r="A828" s="178"/>
      <c r="B828" s="178"/>
      <c r="C828" s="178"/>
      <c r="D828" s="178"/>
      <c r="E828" s="178"/>
      <c r="F828" s="178"/>
      <c r="G828" s="178"/>
      <c r="H828" s="178"/>
    </row>
    <row r="829" spans="1:8" ht="12.75">
      <c r="A829" s="178"/>
      <c r="B829" s="178"/>
      <c r="C829" s="178"/>
      <c r="D829" s="178"/>
      <c r="E829" s="178"/>
      <c r="F829" s="178"/>
      <c r="G829" s="178"/>
      <c r="H829" s="178"/>
    </row>
    <row r="830" spans="1:8" ht="12.75">
      <c r="A830" s="178"/>
      <c r="B830" s="178"/>
      <c r="C830" s="178"/>
      <c r="D830" s="178"/>
      <c r="E830" s="178"/>
      <c r="F830" s="178"/>
      <c r="G830" s="178"/>
      <c r="H830" s="178"/>
    </row>
    <row r="831" spans="1:8" ht="12.75">
      <c r="A831" s="178"/>
      <c r="B831" s="178"/>
      <c r="C831" s="178"/>
      <c r="D831" s="178"/>
      <c r="E831" s="178"/>
      <c r="F831" s="178"/>
      <c r="G831" s="178"/>
      <c r="H831" s="178"/>
    </row>
    <row r="832" spans="1:8" ht="12.75">
      <c r="A832" s="178"/>
      <c r="B832" s="178"/>
      <c r="C832" s="178"/>
      <c r="D832" s="178"/>
      <c r="E832" s="178"/>
      <c r="F832" s="178"/>
      <c r="G832" s="178"/>
      <c r="H832" s="178"/>
    </row>
    <row r="833" spans="1:8" ht="12.75">
      <c r="A833" s="178"/>
      <c r="B833" s="178"/>
      <c r="C833" s="178"/>
      <c r="D833" s="178"/>
      <c r="E833" s="178"/>
      <c r="F833" s="178"/>
      <c r="G833" s="178"/>
      <c r="H833" s="178"/>
    </row>
    <row r="834" spans="1:8" ht="12.75">
      <c r="A834" s="178"/>
      <c r="B834" s="178"/>
      <c r="C834" s="178"/>
      <c r="D834" s="178"/>
      <c r="E834" s="178"/>
      <c r="F834" s="178"/>
      <c r="G834" s="178"/>
      <c r="H834" s="178"/>
    </row>
    <row r="835" spans="1:8" ht="12.75">
      <c r="A835" s="178"/>
      <c r="B835" s="178"/>
      <c r="C835" s="178"/>
      <c r="D835" s="178"/>
      <c r="E835" s="178"/>
      <c r="F835" s="178"/>
      <c r="G835" s="178"/>
      <c r="H835" s="178"/>
    </row>
    <row r="836" spans="1:8" ht="12.75">
      <c r="A836" s="178"/>
      <c r="B836" s="178"/>
      <c r="C836" s="178"/>
      <c r="D836" s="178"/>
      <c r="E836" s="178"/>
      <c r="F836" s="178"/>
      <c r="G836" s="178"/>
      <c r="H836" s="178"/>
    </row>
    <row r="837" spans="1:8" ht="12.75">
      <c r="A837" s="178"/>
      <c r="B837" s="178"/>
      <c r="C837" s="178"/>
      <c r="D837" s="178"/>
      <c r="E837" s="178"/>
      <c r="F837" s="178"/>
      <c r="G837" s="178"/>
      <c r="H837" s="178"/>
    </row>
    <row r="838" spans="1:8" ht="12.75">
      <c r="A838" s="178"/>
      <c r="B838" s="178"/>
      <c r="C838" s="178"/>
      <c r="D838" s="178"/>
      <c r="E838" s="178"/>
      <c r="F838" s="178"/>
      <c r="G838" s="178"/>
      <c r="H838" s="178"/>
    </row>
    <row r="839" spans="1:8" ht="12.75">
      <c r="A839" s="178"/>
      <c r="B839" s="178"/>
      <c r="C839" s="178"/>
      <c r="D839" s="178"/>
      <c r="E839" s="178"/>
      <c r="F839" s="178"/>
      <c r="G839" s="178"/>
      <c r="H839" s="178"/>
    </row>
    <row r="840" spans="1:8" ht="12.75">
      <c r="A840" s="178"/>
      <c r="B840" s="178"/>
      <c r="C840" s="178"/>
      <c r="D840" s="178"/>
      <c r="E840" s="178"/>
      <c r="F840" s="178"/>
      <c r="G840" s="178"/>
      <c r="H840" s="178"/>
    </row>
    <row r="841" spans="1:8" ht="12.75">
      <c r="A841" s="178"/>
      <c r="B841" s="178"/>
      <c r="C841" s="178"/>
      <c r="D841" s="178"/>
      <c r="E841" s="178"/>
      <c r="F841" s="178"/>
      <c r="G841" s="178"/>
      <c r="H841" s="178"/>
    </row>
    <row r="842" spans="1:8" ht="12.75">
      <c r="A842" s="178"/>
      <c r="B842" s="178"/>
      <c r="C842" s="178"/>
      <c r="D842" s="178"/>
      <c r="E842" s="178"/>
      <c r="F842" s="178"/>
      <c r="G842" s="178"/>
      <c r="H842" s="178"/>
    </row>
    <row r="843" spans="1:8" ht="12.75">
      <c r="A843" s="178"/>
      <c r="B843" s="178"/>
      <c r="C843" s="178"/>
      <c r="D843" s="178"/>
      <c r="E843" s="178"/>
      <c r="F843" s="178"/>
      <c r="G843" s="178"/>
      <c r="H843" s="178"/>
    </row>
    <row r="844" spans="1:8" ht="12.75">
      <c r="A844" s="178"/>
      <c r="B844" s="178"/>
      <c r="C844" s="178"/>
      <c r="D844" s="178"/>
      <c r="E844" s="178"/>
      <c r="F844" s="178"/>
      <c r="G844" s="178"/>
      <c r="H844" s="178"/>
    </row>
    <row r="845" spans="1:8" ht="12.75">
      <c r="A845" s="178"/>
      <c r="B845" s="178"/>
      <c r="C845" s="178"/>
      <c r="D845" s="178"/>
      <c r="E845" s="178"/>
      <c r="F845" s="178"/>
      <c r="G845" s="178"/>
      <c r="H845" s="178"/>
    </row>
    <row r="846" spans="1:8" ht="12.75">
      <c r="A846" s="178"/>
      <c r="B846" s="178"/>
      <c r="C846" s="178"/>
      <c r="D846" s="178"/>
      <c r="E846" s="178"/>
      <c r="F846" s="178"/>
      <c r="G846" s="178"/>
      <c r="H846" s="178"/>
    </row>
    <row r="847" spans="1:8" ht="12.75">
      <c r="A847" s="178"/>
      <c r="B847" s="178"/>
      <c r="C847" s="178"/>
      <c r="D847" s="178"/>
      <c r="E847" s="178"/>
      <c r="F847" s="178"/>
      <c r="G847" s="178"/>
      <c r="H847" s="178"/>
    </row>
    <row r="848" spans="1:8" ht="12.75">
      <c r="A848" s="178"/>
      <c r="B848" s="178"/>
      <c r="C848" s="178"/>
      <c r="D848" s="178"/>
      <c r="E848" s="178"/>
      <c r="F848" s="178"/>
      <c r="G848" s="178"/>
      <c r="H848" s="178"/>
    </row>
    <row r="849" spans="1:8" ht="12.75">
      <c r="A849" s="178"/>
      <c r="B849" s="178"/>
      <c r="C849" s="178"/>
      <c r="D849" s="178"/>
      <c r="E849" s="178"/>
      <c r="F849" s="178"/>
      <c r="G849" s="178"/>
      <c r="H849" s="178"/>
    </row>
    <row r="850" spans="1:8" ht="12.75">
      <c r="A850" s="178"/>
      <c r="B850" s="178"/>
      <c r="C850" s="178"/>
      <c r="D850" s="178"/>
      <c r="E850" s="178"/>
      <c r="F850" s="178"/>
      <c r="G850" s="178"/>
      <c r="H850" s="178"/>
    </row>
    <row r="851" spans="1:8" ht="12.75">
      <c r="A851" s="178"/>
      <c r="B851" s="178"/>
      <c r="C851" s="178"/>
      <c r="D851" s="178"/>
      <c r="E851" s="178"/>
      <c r="F851" s="178"/>
      <c r="G851" s="178"/>
      <c r="H851" s="178"/>
    </row>
    <row r="852" spans="1:8" ht="12.75">
      <c r="A852" s="178"/>
      <c r="B852" s="178"/>
      <c r="C852" s="178"/>
      <c r="D852" s="178"/>
      <c r="E852" s="178"/>
      <c r="F852" s="178"/>
      <c r="G852" s="178"/>
      <c r="H852" s="178"/>
    </row>
    <row r="853" spans="1:8" ht="12.75">
      <c r="A853" s="178"/>
      <c r="B853" s="178"/>
      <c r="C853" s="178"/>
      <c r="D853" s="178"/>
      <c r="E853" s="178"/>
      <c r="F853" s="178"/>
      <c r="G853" s="178"/>
      <c r="H853" s="178"/>
    </row>
    <row r="854" spans="1:8" ht="12.75">
      <c r="A854" s="178"/>
      <c r="B854" s="178"/>
      <c r="C854" s="178"/>
      <c r="D854" s="178"/>
      <c r="E854" s="178"/>
      <c r="F854" s="178"/>
      <c r="G854" s="178"/>
      <c r="H854" s="178"/>
    </row>
    <row r="855" spans="1:8" ht="12.75">
      <c r="A855" s="178"/>
      <c r="B855" s="178"/>
      <c r="C855" s="178"/>
      <c r="D855" s="178"/>
      <c r="E855" s="178"/>
      <c r="F855" s="178"/>
      <c r="G855" s="178"/>
      <c r="H855" s="178"/>
    </row>
    <row r="856" spans="1:8" ht="12.75">
      <c r="A856" s="178"/>
      <c r="B856" s="178"/>
      <c r="C856" s="178"/>
      <c r="D856" s="178"/>
      <c r="E856" s="178"/>
      <c r="F856" s="178"/>
      <c r="G856" s="178"/>
      <c r="H856" s="178"/>
    </row>
    <row r="857" spans="1:8" ht="12.75">
      <c r="A857" s="178"/>
      <c r="B857" s="178"/>
      <c r="C857" s="178"/>
      <c r="D857" s="178"/>
      <c r="E857" s="178"/>
      <c r="F857" s="178"/>
      <c r="G857" s="178"/>
      <c r="H857" s="178"/>
    </row>
    <row r="858" spans="1:8" ht="12.75">
      <c r="A858" s="178"/>
      <c r="B858" s="178"/>
      <c r="C858" s="178"/>
      <c r="D858" s="178"/>
      <c r="E858" s="178"/>
      <c r="F858" s="178"/>
      <c r="G858" s="178"/>
      <c r="H858" s="178"/>
    </row>
    <row r="859" spans="1:8" ht="12.75">
      <c r="A859" s="178"/>
      <c r="B859" s="178"/>
      <c r="C859" s="178"/>
      <c r="D859" s="178"/>
      <c r="E859" s="178"/>
      <c r="F859" s="178"/>
      <c r="G859" s="178"/>
      <c r="H859" s="178"/>
    </row>
    <row r="860" spans="1:8" ht="12.75">
      <c r="A860" s="178"/>
      <c r="B860" s="178"/>
      <c r="C860" s="178"/>
      <c r="D860" s="178"/>
      <c r="E860" s="178"/>
      <c r="F860" s="178"/>
      <c r="G860" s="178"/>
      <c r="H860" s="178"/>
    </row>
    <row r="861" spans="1:8" ht="12.75">
      <c r="A861" s="178"/>
      <c r="B861" s="178"/>
      <c r="C861" s="178"/>
      <c r="D861" s="178"/>
      <c r="E861" s="178"/>
      <c r="F861" s="178"/>
      <c r="G861" s="178"/>
      <c r="H861" s="178"/>
    </row>
    <row r="862" spans="1:8" ht="12.75">
      <c r="A862" s="178"/>
      <c r="B862" s="178"/>
      <c r="C862" s="178"/>
      <c r="D862" s="178"/>
      <c r="E862" s="178"/>
      <c r="F862" s="178"/>
      <c r="G862" s="178"/>
      <c r="H862" s="178"/>
    </row>
    <row r="863" spans="1:8" ht="12.75">
      <c r="A863" s="178"/>
      <c r="B863" s="178"/>
      <c r="C863" s="178"/>
      <c r="D863" s="178"/>
      <c r="E863" s="178"/>
      <c r="F863" s="178"/>
      <c r="G863" s="178"/>
      <c r="H863" s="178"/>
    </row>
    <row r="864" spans="1:8" ht="12.75">
      <c r="A864" s="178"/>
      <c r="B864" s="178"/>
      <c r="C864" s="178"/>
      <c r="D864" s="178"/>
      <c r="E864" s="178"/>
      <c r="F864" s="178"/>
      <c r="G864" s="178"/>
      <c r="H864" s="178"/>
    </row>
    <row r="865" spans="1:8" ht="12.75">
      <c r="A865" s="178"/>
      <c r="B865" s="178"/>
      <c r="C865" s="178"/>
      <c r="D865" s="178"/>
      <c r="E865" s="178"/>
      <c r="F865" s="178"/>
      <c r="G865" s="178"/>
      <c r="H865" s="178"/>
    </row>
    <row r="866" spans="1:8" ht="12.75">
      <c r="A866" s="178"/>
      <c r="B866" s="178"/>
      <c r="C866" s="178"/>
      <c r="D866" s="178"/>
      <c r="E866" s="178"/>
      <c r="F866" s="178"/>
      <c r="G866" s="178"/>
      <c r="H866" s="178"/>
    </row>
    <row r="867" spans="1:8" ht="12.75">
      <c r="A867" s="178"/>
      <c r="B867" s="178"/>
      <c r="C867" s="178"/>
      <c r="D867" s="178"/>
      <c r="E867" s="178"/>
      <c r="F867" s="178"/>
      <c r="G867" s="178"/>
      <c r="H867" s="178"/>
    </row>
    <row r="868" spans="1:8" ht="12.75">
      <c r="A868" s="178"/>
      <c r="B868" s="178"/>
      <c r="C868" s="178"/>
      <c r="D868" s="178"/>
      <c r="E868" s="178"/>
      <c r="F868" s="178"/>
      <c r="G868" s="178"/>
      <c r="H868" s="178"/>
    </row>
    <row r="869" spans="1:8" ht="12.75">
      <c r="A869" s="178"/>
      <c r="B869" s="178"/>
      <c r="C869" s="178"/>
      <c r="D869" s="178"/>
      <c r="E869" s="178"/>
      <c r="F869" s="178"/>
      <c r="G869" s="178"/>
      <c r="H869" s="178"/>
    </row>
    <row r="870" spans="1:8" ht="12.75">
      <c r="A870" s="178"/>
      <c r="B870" s="178"/>
      <c r="C870" s="178"/>
      <c r="D870" s="178"/>
      <c r="E870" s="178"/>
      <c r="F870" s="178"/>
      <c r="G870" s="178"/>
      <c r="H870" s="178"/>
    </row>
    <row r="871" spans="1:8" ht="12.75">
      <c r="A871" s="178"/>
      <c r="B871" s="178"/>
      <c r="C871" s="178"/>
      <c r="D871" s="178"/>
      <c r="E871" s="178"/>
      <c r="F871" s="178"/>
      <c r="G871" s="178"/>
      <c r="H871" s="178"/>
    </row>
    <row r="872" spans="1:8" ht="12.75">
      <c r="A872" s="178"/>
      <c r="B872" s="178"/>
      <c r="C872" s="178"/>
      <c r="D872" s="178"/>
      <c r="E872" s="178"/>
      <c r="F872" s="178"/>
      <c r="G872" s="178"/>
      <c r="H872" s="178"/>
    </row>
    <row r="873" spans="1:8" ht="12.75">
      <c r="A873" s="178"/>
      <c r="B873" s="178"/>
      <c r="C873" s="178"/>
      <c r="D873" s="178"/>
      <c r="E873" s="178"/>
      <c r="F873" s="178"/>
      <c r="G873" s="178"/>
      <c r="H873" s="178"/>
    </row>
    <row r="874" spans="1:8" ht="12.75">
      <c r="A874" s="178"/>
      <c r="B874" s="178"/>
      <c r="C874" s="178"/>
      <c r="D874" s="178"/>
      <c r="E874" s="178"/>
      <c r="F874" s="178"/>
      <c r="G874" s="178"/>
      <c r="H874" s="178"/>
    </row>
    <row r="875" spans="1:8" ht="12.75">
      <c r="A875" s="178"/>
      <c r="B875" s="178"/>
      <c r="C875" s="178"/>
      <c r="D875" s="178"/>
      <c r="E875" s="178"/>
      <c r="F875" s="178"/>
      <c r="G875" s="178"/>
      <c r="H875" s="178"/>
    </row>
    <row r="876" spans="1:8" ht="12.75">
      <c r="A876" s="178"/>
      <c r="B876" s="178"/>
      <c r="C876" s="178"/>
      <c r="D876" s="178"/>
      <c r="E876" s="178"/>
      <c r="F876" s="178"/>
      <c r="G876" s="178"/>
      <c r="H876" s="178"/>
    </row>
    <row r="877" spans="1:8" ht="12.75">
      <c r="A877" s="178"/>
      <c r="B877" s="178"/>
      <c r="C877" s="178"/>
      <c r="D877" s="178"/>
      <c r="E877" s="178"/>
      <c r="F877" s="178"/>
      <c r="G877" s="178"/>
      <c r="H877" s="178"/>
    </row>
    <row r="878" spans="1:8" ht="12.75">
      <c r="A878" s="178"/>
      <c r="B878" s="178"/>
      <c r="C878" s="178"/>
      <c r="D878" s="178"/>
      <c r="E878" s="178"/>
      <c r="F878" s="178"/>
      <c r="G878" s="178"/>
      <c r="H878" s="178"/>
    </row>
    <row r="879" spans="1:8" ht="12.75">
      <c r="A879" s="178"/>
      <c r="B879" s="178"/>
      <c r="C879" s="178"/>
      <c r="D879" s="178"/>
      <c r="E879" s="178"/>
      <c r="F879" s="178"/>
      <c r="G879" s="178"/>
      <c r="H879" s="178"/>
    </row>
    <row r="880" spans="1:8" ht="12.75">
      <c r="A880" s="178"/>
      <c r="B880" s="178"/>
      <c r="C880" s="178"/>
      <c r="D880" s="178"/>
      <c r="E880" s="178"/>
      <c r="F880" s="178"/>
      <c r="G880" s="178"/>
      <c r="H880" s="178"/>
    </row>
    <row r="881" spans="1:8" ht="12.75">
      <c r="A881" s="178"/>
      <c r="B881" s="178"/>
      <c r="C881" s="178"/>
      <c r="D881" s="178"/>
      <c r="E881" s="178"/>
      <c r="F881" s="178"/>
      <c r="G881" s="178"/>
      <c r="H881" s="178"/>
    </row>
    <row r="882" spans="1:8" ht="12.75">
      <c r="A882" s="178"/>
      <c r="B882" s="178"/>
      <c r="C882" s="178"/>
      <c r="D882" s="178"/>
      <c r="E882" s="178"/>
      <c r="F882" s="178"/>
      <c r="G882" s="178"/>
      <c r="H882" s="178"/>
    </row>
    <row r="883" spans="1:8" ht="12.75">
      <c r="A883" s="178"/>
      <c r="B883" s="178"/>
      <c r="C883" s="178"/>
      <c r="D883" s="178"/>
      <c r="E883" s="178"/>
      <c r="F883" s="178"/>
      <c r="G883" s="178"/>
      <c r="H883" s="178"/>
    </row>
    <row r="884" spans="1:8" ht="12.75">
      <c r="A884" s="178"/>
      <c r="B884" s="178"/>
      <c r="C884" s="178"/>
      <c r="D884" s="178"/>
      <c r="E884" s="178"/>
      <c r="F884" s="178"/>
      <c r="G884" s="178"/>
      <c r="H884" s="178"/>
    </row>
    <row r="885" spans="1:8" ht="12.75">
      <c r="A885" s="178"/>
      <c r="B885" s="178"/>
      <c r="C885" s="178"/>
      <c r="D885" s="178"/>
      <c r="E885" s="178"/>
      <c r="F885" s="178"/>
      <c r="G885" s="178"/>
      <c r="H885" s="178"/>
    </row>
    <row r="886" spans="1:8" ht="12.75">
      <c r="A886" s="178"/>
      <c r="B886" s="178"/>
      <c r="C886" s="178"/>
      <c r="D886" s="178"/>
      <c r="E886" s="178"/>
      <c r="F886" s="178"/>
      <c r="G886" s="178"/>
      <c r="H886" s="178"/>
    </row>
    <row r="887" spans="1:8" ht="12.75">
      <c r="A887" s="178"/>
      <c r="B887" s="178"/>
      <c r="C887" s="178"/>
      <c r="D887" s="178"/>
      <c r="E887" s="178"/>
      <c r="F887" s="178"/>
      <c r="G887" s="178"/>
      <c r="H887" s="178"/>
    </row>
    <row r="888" spans="1:8" ht="12.75">
      <c r="A888" s="178"/>
      <c r="B888" s="178"/>
      <c r="C888" s="178"/>
      <c r="D888" s="178"/>
      <c r="E888" s="178"/>
      <c r="F888" s="178"/>
      <c r="G888" s="178"/>
      <c r="H888" s="178"/>
    </row>
    <row r="889" spans="1:8" ht="12.75">
      <c r="A889" s="178"/>
      <c r="B889" s="178"/>
      <c r="C889" s="178"/>
      <c r="D889" s="178"/>
      <c r="E889" s="178"/>
      <c r="F889" s="178"/>
      <c r="G889" s="178"/>
      <c r="H889" s="178"/>
    </row>
    <row r="890" spans="1:8" ht="12.75">
      <c r="A890" s="178"/>
      <c r="B890" s="178"/>
      <c r="C890" s="178"/>
      <c r="D890" s="178"/>
      <c r="E890" s="178"/>
      <c r="F890" s="178"/>
      <c r="G890" s="178"/>
      <c r="H890" s="178"/>
    </row>
    <row r="891" spans="1:8" ht="12.75">
      <c r="A891" s="178"/>
      <c r="B891" s="178"/>
      <c r="C891" s="178"/>
      <c r="D891" s="178"/>
      <c r="E891" s="178"/>
      <c r="F891" s="178"/>
      <c r="G891" s="178"/>
      <c r="H891" s="178"/>
    </row>
    <row r="892" spans="1:8" ht="12.75">
      <c r="A892" s="178"/>
      <c r="B892" s="178"/>
      <c r="C892" s="178"/>
      <c r="D892" s="178"/>
      <c r="E892" s="178"/>
      <c r="F892" s="178"/>
      <c r="G892" s="178"/>
      <c r="H892" s="178"/>
    </row>
    <row r="893" spans="1:8" ht="12.75">
      <c r="A893" s="178"/>
      <c r="B893" s="178"/>
      <c r="C893" s="178"/>
      <c r="D893" s="178"/>
      <c r="E893" s="178"/>
      <c r="F893" s="178"/>
      <c r="G893" s="178"/>
      <c r="H893" s="178"/>
    </row>
    <row r="894" spans="1:8" ht="12.75">
      <c r="A894" s="178"/>
      <c r="B894" s="178"/>
      <c r="C894" s="178"/>
      <c r="D894" s="178"/>
      <c r="E894" s="178"/>
      <c r="F894" s="178"/>
      <c r="G894" s="178"/>
      <c r="H894" s="178"/>
    </row>
    <row r="895" spans="1:8" ht="12.75">
      <c r="A895" s="178"/>
      <c r="B895" s="178"/>
      <c r="C895" s="178"/>
      <c r="D895" s="178"/>
      <c r="E895" s="178"/>
      <c r="F895" s="178"/>
      <c r="G895" s="178"/>
      <c r="H895" s="178"/>
    </row>
    <row r="896" spans="1:8" ht="12.75">
      <c r="A896" s="178"/>
      <c r="B896" s="178"/>
      <c r="C896" s="178"/>
      <c r="D896" s="178"/>
      <c r="E896" s="178"/>
      <c r="F896" s="178"/>
      <c r="G896" s="178"/>
      <c r="H896" s="178"/>
    </row>
    <row r="897" spans="1:8" ht="12.75">
      <c r="A897" s="178"/>
      <c r="B897" s="178"/>
      <c r="C897" s="178"/>
      <c r="D897" s="178"/>
      <c r="E897" s="178"/>
      <c r="F897" s="178"/>
      <c r="G897" s="178"/>
      <c r="H897" s="178"/>
    </row>
    <row r="898" spans="1:8" ht="12.75">
      <c r="A898" s="178"/>
      <c r="B898" s="178"/>
      <c r="C898" s="178"/>
      <c r="D898" s="178"/>
      <c r="E898" s="178"/>
      <c r="F898" s="178"/>
      <c r="G898" s="178"/>
      <c r="H898" s="178"/>
    </row>
    <row r="899" spans="1:8" ht="12.75">
      <c r="A899" s="178"/>
      <c r="B899" s="178"/>
      <c r="C899" s="178"/>
      <c r="D899" s="178"/>
      <c r="E899" s="178"/>
      <c r="F899" s="178"/>
      <c r="G899" s="178"/>
      <c r="H899" s="178"/>
    </row>
    <row r="900" spans="1:8" ht="12.75">
      <c r="A900" s="178"/>
      <c r="B900" s="178"/>
      <c r="C900" s="178"/>
      <c r="D900" s="178"/>
      <c r="E900" s="178"/>
      <c r="F900" s="178"/>
      <c r="G900" s="178"/>
      <c r="H900" s="178"/>
    </row>
    <row r="901" spans="1:8" ht="12.75">
      <c r="A901" s="178"/>
      <c r="B901" s="178"/>
      <c r="C901" s="178"/>
      <c r="D901" s="178"/>
      <c r="E901" s="178"/>
      <c r="F901" s="178"/>
      <c r="G901" s="178"/>
      <c r="H901" s="178"/>
    </row>
    <row r="902" spans="1:8" ht="12.75">
      <c r="A902" s="178"/>
      <c r="B902" s="178"/>
      <c r="C902" s="178"/>
      <c r="D902" s="178"/>
      <c r="E902" s="178"/>
      <c r="F902" s="178"/>
      <c r="G902" s="178"/>
      <c r="H902" s="178"/>
    </row>
    <row r="903" spans="1:8" ht="12.75">
      <c r="A903" s="178"/>
      <c r="B903" s="178"/>
      <c r="C903" s="178"/>
      <c r="D903" s="178"/>
      <c r="E903" s="178"/>
      <c r="F903" s="178"/>
      <c r="G903" s="178"/>
      <c r="H903" s="178"/>
    </row>
    <row r="904" spans="1:8" ht="12.75">
      <c r="A904" s="178"/>
      <c r="B904" s="178"/>
      <c r="C904" s="178"/>
      <c r="D904" s="178"/>
      <c r="E904" s="178"/>
      <c r="F904" s="178"/>
      <c r="G904" s="178"/>
      <c r="H904" s="178"/>
    </row>
    <row r="905" spans="1:8" ht="12.75">
      <c r="A905" s="178"/>
      <c r="B905" s="178"/>
      <c r="C905" s="178"/>
      <c r="D905" s="178"/>
      <c r="E905" s="178"/>
      <c r="F905" s="178"/>
      <c r="G905" s="178"/>
      <c r="H905" s="178"/>
    </row>
    <row r="906" spans="1:8" ht="12.75">
      <c r="A906" s="178"/>
      <c r="B906" s="178"/>
      <c r="C906" s="178"/>
      <c r="D906" s="178"/>
      <c r="E906" s="178"/>
      <c r="F906" s="178"/>
      <c r="G906" s="178"/>
      <c r="H906" s="178"/>
    </row>
    <row r="907" spans="1:8" ht="12.75">
      <c r="A907" s="178"/>
      <c r="B907" s="178"/>
      <c r="C907" s="178"/>
      <c r="D907" s="178"/>
      <c r="E907" s="178"/>
      <c r="F907" s="178"/>
      <c r="G907" s="178"/>
      <c r="H907" s="178"/>
    </row>
    <row r="908" spans="1:8" ht="12.75">
      <c r="A908" s="178"/>
      <c r="B908" s="178"/>
      <c r="C908" s="178"/>
      <c r="D908" s="178"/>
      <c r="E908" s="178"/>
      <c r="F908" s="178"/>
      <c r="G908" s="178"/>
      <c r="H908" s="178"/>
    </row>
    <row r="909" spans="1:8" ht="12.75">
      <c r="A909" s="178"/>
      <c r="B909" s="178"/>
      <c r="C909" s="178"/>
      <c r="D909" s="178"/>
      <c r="E909" s="178"/>
      <c r="F909" s="178"/>
      <c r="G909" s="178"/>
      <c r="H909" s="178"/>
    </row>
    <row r="910" spans="1:8" ht="12.75">
      <c r="A910" s="178"/>
      <c r="B910" s="178"/>
      <c r="C910" s="178"/>
      <c r="D910" s="178"/>
      <c r="E910" s="178"/>
      <c r="F910" s="178"/>
      <c r="G910" s="178"/>
      <c r="H910" s="178"/>
    </row>
    <row r="911" spans="1:8" ht="12.75">
      <c r="A911" s="178"/>
      <c r="B911" s="178"/>
      <c r="C911" s="178"/>
      <c r="D911" s="178"/>
      <c r="E911" s="178"/>
      <c r="F911" s="178"/>
      <c r="G911" s="178"/>
      <c r="H911" s="178"/>
    </row>
    <row r="912" spans="1:8" ht="12.75">
      <c r="A912" s="178"/>
      <c r="B912" s="178"/>
      <c r="C912" s="178"/>
      <c r="D912" s="178"/>
      <c r="E912" s="178"/>
      <c r="F912" s="178"/>
      <c r="G912" s="178"/>
      <c r="H912" s="178"/>
    </row>
    <row r="913" spans="1:8" ht="12.75">
      <c r="A913" s="178"/>
      <c r="B913" s="178"/>
      <c r="C913" s="178"/>
      <c r="D913" s="178"/>
      <c r="E913" s="178"/>
      <c r="F913" s="178"/>
      <c r="G913" s="178"/>
      <c r="H913" s="178"/>
    </row>
    <row r="914" spans="1:8" ht="12.75">
      <c r="A914" s="178"/>
      <c r="B914" s="178"/>
      <c r="C914" s="178"/>
      <c r="D914" s="178"/>
      <c r="E914" s="178"/>
      <c r="F914" s="178"/>
      <c r="G914" s="178"/>
      <c r="H914" s="178"/>
    </row>
    <row r="915" spans="1:8" ht="12.75">
      <c r="A915" s="178"/>
      <c r="B915" s="178"/>
      <c r="C915" s="178"/>
      <c r="D915" s="178"/>
      <c r="E915" s="178"/>
      <c r="F915" s="178"/>
      <c r="G915" s="178"/>
      <c r="H915" s="178"/>
    </row>
    <row r="916" spans="1:8" ht="12.75">
      <c r="A916" s="178"/>
      <c r="B916" s="178"/>
      <c r="C916" s="178"/>
      <c r="D916" s="178"/>
      <c r="E916" s="178"/>
      <c r="F916" s="178"/>
      <c r="G916" s="178"/>
      <c r="H916" s="178"/>
    </row>
    <row r="917" spans="1:8" ht="12.75">
      <c r="A917" s="178"/>
      <c r="B917" s="178"/>
      <c r="C917" s="178"/>
      <c r="D917" s="178"/>
      <c r="E917" s="178"/>
      <c r="F917" s="178"/>
      <c r="G917" s="178"/>
      <c r="H917" s="178"/>
    </row>
    <row r="918" spans="1:8" ht="12.75">
      <c r="A918" s="178"/>
      <c r="B918" s="178"/>
      <c r="C918" s="178"/>
      <c r="D918" s="178"/>
      <c r="E918" s="178"/>
      <c r="F918" s="178"/>
      <c r="G918" s="178"/>
      <c r="H918" s="178"/>
    </row>
    <row r="919" spans="1:8" ht="12.75">
      <c r="A919" s="178"/>
      <c r="B919" s="178"/>
      <c r="C919" s="178"/>
      <c r="D919" s="178"/>
      <c r="E919" s="178"/>
      <c r="F919" s="178"/>
      <c r="G919" s="178"/>
      <c r="H919" s="178"/>
    </row>
    <row r="920" spans="1:8" ht="12.75">
      <c r="A920" s="178"/>
      <c r="B920" s="178"/>
      <c r="C920" s="178"/>
      <c r="D920" s="178"/>
      <c r="E920" s="178"/>
      <c r="F920" s="178"/>
      <c r="G920" s="178"/>
      <c r="H920" s="178"/>
    </row>
    <row r="921" spans="1:8" ht="12.75">
      <c r="A921" s="178"/>
      <c r="B921" s="178"/>
      <c r="C921" s="178"/>
      <c r="D921" s="178"/>
      <c r="E921" s="178"/>
      <c r="F921" s="178"/>
      <c r="G921" s="178"/>
      <c r="H921" s="178"/>
    </row>
    <row r="922" spans="1:8" ht="12.75">
      <c r="A922" s="178"/>
      <c r="B922" s="178"/>
      <c r="C922" s="178"/>
      <c r="D922" s="178"/>
      <c r="E922" s="178"/>
      <c r="F922" s="178"/>
      <c r="G922" s="178"/>
      <c r="H922" s="178"/>
    </row>
    <row r="923" spans="1:8" ht="12.75">
      <c r="A923" s="178"/>
      <c r="B923" s="178"/>
      <c r="C923" s="178"/>
      <c r="D923" s="178"/>
      <c r="E923" s="178"/>
      <c r="F923" s="178"/>
      <c r="G923" s="178"/>
      <c r="H923" s="178"/>
    </row>
    <row r="924" spans="1:8" ht="12.75">
      <c r="A924" s="178"/>
      <c r="B924" s="178"/>
      <c r="C924" s="178"/>
      <c r="D924" s="178"/>
      <c r="E924" s="178"/>
      <c r="F924" s="178"/>
      <c r="G924" s="178"/>
      <c r="H924" s="178"/>
    </row>
    <row r="925" spans="1:8" ht="12.75">
      <c r="A925" s="178"/>
      <c r="B925" s="178"/>
      <c r="C925" s="178"/>
      <c r="D925" s="178"/>
      <c r="E925" s="178"/>
      <c r="F925" s="178"/>
      <c r="G925" s="178"/>
      <c r="H925" s="178"/>
    </row>
    <row r="926" spans="1:8" ht="12.75">
      <c r="A926" s="178"/>
      <c r="B926" s="178"/>
      <c r="C926" s="178"/>
      <c r="D926" s="178"/>
      <c r="E926" s="178"/>
      <c r="F926" s="178"/>
      <c r="G926" s="178"/>
      <c r="H926" s="178"/>
    </row>
    <row r="927" spans="1:8" ht="12.75">
      <c r="A927" s="178"/>
      <c r="B927" s="178"/>
      <c r="C927" s="178"/>
      <c r="D927" s="178"/>
      <c r="E927" s="178"/>
      <c r="F927" s="178"/>
      <c r="G927" s="178"/>
      <c r="H927" s="178"/>
    </row>
    <row r="928" spans="1:8" ht="12.75">
      <c r="A928" s="178"/>
      <c r="B928" s="178"/>
      <c r="C928" s="178"/>
      <c r="D928" s="178"/>
      <c r="E928" s="178"/>
      <c r="F928" s="178"/>
      <c r="G928" s="178"/>
      <c r="H928" s="178"/>
    </row>
    <row r="929" spans="1:8" ht="12.75">
      <c r="A929" s="178"/>
      <c r="B929" s="178"/>
      <c r="C929" s="178"/>
      <c r="D929" s="178"/>
      <c r="E929" s="178"/>
      <c r="F929" s="178"/>
      <c r="G929" s="178"/>
      <c r="H929" s="178"/>
    </row>
    <row r="930" spans="1:8" ht="12.75">
      <c r="A930" s="178"/>
      <c r="B930" s="178"/>
      <c r="C930" s="178"/>
      <c r="D930" s="178"/>
      <c r="E930" s="178"/>
      <c r="F930" s="178"/>
      <c r="G930" s="178"/>
      <c r="H930" s="178"/>
    </row>
    <row r="931" spans="1:8" ht="12.75">
      <c r="A931" s="178"/>
      <c r="B931" s="178"/>
      <c r="C931" s="178"/>
      <c r="D931" s="178"/>
      <c r="E931" s="178"/>
      <c r="F931" s="178"/>
      <c r="G931" s="178"/>
      <c r="H931" s="178"/>
    </row>
    <row r="932" spans="1:8" ht="12.75">
      <c r="A932" s="178"/>
      <c r="B932" s="178"/>
      <c r="C932" s="178"/>
      <c r="D932" s="178"/>
      <c r="E932" s="178"/>
      <c r="F932" s="178"/>
      <c r="G932" s="178"/>
      <c r="H932" s="178"/>
    </row>
    <row r="933" spans="1:8" ht="12.75">
      <c r="A933" s="178"/>
      <c r="B933" s="178"/>
      <c r="C933" s="178"/>
      <c r="D933" s="178"/>
      <c r="E933" s="178"/>
      <c r="F933" s="178"/>
      <c r="G933" s="178"/>
      <c r="H933" s="178"/>
    </row>
    <row r="934" spans="1:8" ht="12.75">
      <c r="A934" s="178"/>
      <c r="B934" s="178"/>
      <c r="C934" s="178"/>
      <c r="D934" s="178"/>
      <c r="E934" s="178"/>
      <c r="F934" s="178"/>
      <c r="G934" s="178"/>
      <c r="H934" s="178"/>
    </row>
    <row r="935" spans="1:8" ht="12.75">
      <c r="A935" s="178"/>
      <c r="B935" s="178"/>
      <c r="C935" s="178"/>
      <c r="D935" s="178"/>
      <c r="E935" s="178"/>
      <c r="F935" s="178"/>
      <c r="G935" s="178"/>
      <c r="H935" s="178"/>
    </row>
    <row r="936" spans="1:8" ht="12.75">
      <c r="A936" s="178"/>
      <c r="B936" s="178"/>
      <c r="C936" s="178"/>
      <c r="D936" s="178"/>
      <c r="E936" s="178"/>
      <c r="F936" s="178"/>
      <c r="G936" s="178"/>
      <c r="H936" s="178"/>
    </row>
    <row r="937" spans="1:8" ht="12.75">
      <c r="A937" s="178"/>
      <c r="B937" s="178"/>
      <c r="C937" s="178"/>
      <c r="D937" s="178"/>
      <c r="E937" s="178"/>
      <c r="F937" s="178"/>
      <c r="G937" s="178"/>
      <c r="H937" s="178"/>
    </row>
    <row r="938" spans="1:8" ht="12.75">
      <c r="A938" s="178"/>
      <c r="B938" s="178"/>
      <c r="C938" s="178"/>
      <c r="D938" s="178"/>
      <c r="E938" s="178"/>
      <c r="F938" s="178"/>
      <c r="G938" s="178"/>
      <c r="H938" s="178"/>
    </row>
    <row r="939" spans="1:8" ht="12.75">
      <c r="A939" s="178"/>
      <c r="B939" s="178"/>
      <c r="C939" s="178"/>
      <c r="D939" s="178"/>
      <c r="E939" s="178"/>
      <c r="F939" s="178"/>
      <c r="G939" s="178"/>
      <c r="H939" s="178"/>
    </row>
    <row r="940" spans="1:8" ht="12.75">
      <c r="A940" s="178"/>
      <c r="B940" s="178"/>
      <c r="C940" s="178"/>
      <c r="D940" s="178"/>
      <c r="E940" s="178"/>
      <c r="F940" s="178"/>
      <c r="G940" s="178"/>
      <c r="H940" s="178"/>
    </row>
    <row r="941" spans="1:8" ht="12.75">
      <c r="A941" s="178"/>
      <c r="B941" s="178"/>
      <c r="C941" s="178"/>
      <c r="D941" s="178"/>
      <c r="E941" s="178"/>
      <c r="F941" s="178"/>
      <c r="G941" s="178"/>
      <c r="H941" s="178"/>
    </row>
    <row r="942" spans="1:8" ht="12.75">
      <c r="A942" s="178"/>
      <c r="B942" s="178"/>
      <c r="C942" s="178"/>
      <c r="D942" s="178"/>
      <c r="E942" s="178"/>
      <c r="F942" s="178"/>
      <c r="G942" s="178"/>
      <c r="H942" s="178"/>
    </row>
    <row r="943" spans="1:8" ht="12.75">
      <c r="A943" s="178"/>
      <c r="B943" s="178"/>
      <c r="C943" s="178"/>
      <c r="D943" s="178"/>
      <c r="E943" s="178"/>
      <c r="F943" s="178"/>
      <c r="G943" s="178"/>
      <c r="H943" s="178"/>
    </row>
    <row r="944" spans="1:8" ht="12.75">
      <c r="A944" s="178"/>
      <c r="B944" s="178"/>
      <c r="C944" s="178"/>
      <c r="D944" s="178"/>
      <c r="E944" s="178"/>
      <c r="F944" s="178"/>
      <c r="G944" s="178"/>
      <c r="H944" s="178"/>
    </row>
    <row r="945" spans="1:8" ht="12.75">
      <c r="A945" s="178"/>
      <c r="B945" s="178"/>
      <c r="C945" s="178"/>
      <c r="D945" s="178"/>
      <c r="E945" s="178"/>
      <c r="F945" s="178"/>
      <c r="G945" s="178"/>
      <c r="H945" s="178"/>
    </row>
    <row r="946" spans="1:8" ht="12.75">
      <c r="A946" s="178"/>
      <c r="B946" s="178"/>
      <c r="C946" s="178"/>
      <c r="D946" s="178"/>
      <c r="E946" s="178"/>
      <c r="F946" s="178"/>
      <c r="G946" s="178"/>
      <c r="H946" s="178"/>
    </row>
    <row r="947" spans="1:8" ht="12.75">
      <c r="A947" s="178"/>
      <c r="B947" s="178"/>
      <c r="C947" s="178"/>
      <c r="D947" s="178"/>
      <c r="E947" s="178"/>
      <c r="F947" s="178"/>
      <c r="G947" s="178"/>
      <c r="H947" s="178"/>
    </row>
    <row r="948" spans="1:8" ht="12.75">
      <c r="A948" s="178"/>
      <c r="B948" s="178"/>
      <c r="C948" s="178"/>
      <c r="D948" s="178"/>
      <c r="E948" s="178"/>
      <c r="F948" s="178"/>
      <c r="G948" s="178"/>
      <c r="H948" s="178"/>
    </row>
    <row r="949" spans="1:8" ht="12.75">
      <c r="A949" s="178"/>
      <c r="B949" s="178"/>
      <c r="C949" s="178"/>
      <c r="D949" s="178"/>
      <c r="E949" s="178"/>
      <c r="F949" s="178"/>
      <c r="G949" s="178"/>
      <c r="H949" s="178"/>
    </row>
    <row r="950" spans="1:8" ht="12.75">
      <c r="A950" s="178"/>
      <c r="B950" s="178"/>
      <c r="C950" s="178"/>
      <c r="D950" s="178"/>
      <c r="E950" s="178"/>
      <c r="F950" s="178"/>
      <c r="G950" s="178"/>
      <c r="H950" s="178"/>
    </row>
    <row r="951" spans="1:8" ht="12.75">
      <c r="A951" s="178"/>
      <c r="B951" s="178"/>
      <c r="C951" s="178"/>
      <c r="D951" s="178"/>
      <c r="E951" s="178"/>
      <c r="F951" s="178"/>
      <c r="G951" s="178"/>
      <c r="H951" s="178"/>
    </row>
    <row r="952" spans="1:8" ht="12.75">
      <c r="A952" s="178"/>
      <c r="B952" s="178"/>
      <c r="C952" s="178"/>
      <c r="D952" s="178"/>
      <c r="E952" s="178"/>
      <c r="F952" s="178"/>
      <c r="G952" s="178"/>
      <c r="H952" s="178"/>
    </row>
    <row r="953" spans="1:8" ht="12.75">
      <c r="A953" s="178"/>
      <c r="B953" s="178"/>
      <c r="C953" s="178"/>
      <c r="D953" s="178"/>
      <c r="E953" s="178"/>
      <c r="F953" s="178"/>
      <c r="G953" s="178"/>
      <c r="H953" s="178"/>
    </row>
    <row r="954" spans="1:8" ht="12.75">
      <c r="A954" s="178"/>
      <c r="B954" s="178"/>
      <c r="C954" s="178"/>
      <c r="D954" s="178"/>
      <c r="E954" s="178"/>
      <c r="F954" s="178"/>
      <c r="G954" s="178"/>
      <c r="H954" s="178"/>
    </row>
    <row r="955" spans="1:8" ht="12.75">
      <c r="A955" s="178"/>
      <c r="B955" s="178"/>
      <c r="C955" s="178"/>
      <c r="D955" s="178"/>
      <c r="E955" s="178"/>
      <c r="F955" s="178"/>
      <c r="G955" s="178"/>
      <c r="H955" s="178"/>
    </row>
    <row r="956" spans="1:8" ht="12.75">
      <c r="A956" s="178"/>
      <c r="B956" s="178"/>
      <c r="C956" s="178"/>
      <c r="D956" s="178"/>
      <c r="E956" s="178"/>
      <c r="F956" s="178"/>
      <c r="G956" s="178"/>
      <c r="H956" s="178"/>
    </row>
    <row r="957" spans="1:8" ht="12.75">
      <c r="A957" s="178"/>
      <c r="B957" s="178"/>
      <c r="C957" s="178"/>
      <c r="D957" s="178"/>
      <c r="E957" s="178"/>
      <c r="F957" s="178"/>
      <c r="G957" s="178"/>
      <c r="H957" s="178"/>
    </row>
    <row r="958" spans="1:8" ht="12.75">
      <c r="A958" s="178"/>
      <c r="B958" s="178"/>
      <c r="C958" s="178"/>
      <c r="D958" s="178"/>
      <c r="E958" s="178"/>
      <c r="F958" s="178"/>
      <c r="G958" s="178"/>
      <c r="H958" s="178"/>
    </row>
    <row r="959" spans="1:8" ht="12.75">
      <c r="A959" s="178"/>
      <c r="B959" s="178"/>
      <c r="C959" s="178"/>
      <c r="D959" s="178"/>
      <c r="E959" s="178"/>
      <c r="F959" s="178"/>
      <c r="G959" s="178"/>
      <c r="H959" s="178"/>
    </row>
    <row r="960" spans="1:8" ht="12.75">
      <c r="A960" s="178"/>
      <c r="B960" s="178"/>
      <c r="C960" s="178"/>
      <c r="D960" s="178"/>
      <c r="E960" s="178"/>
      <c r="F960" s="178"/>
      <c r="G960" s="178"/>
      <c r="H960" s="178"/>
    </row>
    <row r="961" spans="1:8" ht="12.75">
      <c r="A961" s="178"/>
      <c r="B961" s="178"/>
      <c r="C961" s="178"/>
      <c r="D961" s="178"/>
      <c r="E961" s="178"/>
      <c r="F961" s="178"/>
      <c r="G961" s="178"/>
      <c r="H961" s="178"/>
    </row>
    <row r="962" spans="1:8" ht="12.75">
      <c r="A962" s="178"/>
      <c r="B962" s="178"/>
      <c r="C962" s="178"/>
      <c r="D962" s="178"/>
      <c r="E962" s="178"/>
      <c r="F962" s="178"/>
      <c r="G962" s="178"/>
      <c r="H962" s="178"/>
    </row>
    <row r="963" spans="1:8" ht="12.75">
      <c r="A963" s="178"/>
      <c r="B963" s="178"/>
      <c r="C963" s="178"/>
      <c r="D963" s="178"/>
      <c r="E963" s="178"/>
      <c r="F963" s="178"/>
      <c r="G963" s="178"/>
      <c r="H963" s="178"/>
    </row>
    <row r="964" spans="1:8" ht="12.75">
      <c r="A964" s="178"/>
      <c r="B964" s="178"/>
      <c r="C964" s="178"/>
      <c r="D964" s="178"/>
      <c r="E964" s="178"/>
      <c r="F964" s="178"/>
      <c r="G964" s="178"/>
      <c r="H964" s="178"/>
    </row>
    <row r="965" spans="1:8" ht="12.75">
      <c r="A965" s="178"/>
      <c r="B965" s="178"/>
      <c r="C965" s="178"/>
      <c r="D965" s="178"/>
      <c r="E965" s="178"/>
      <c r="F965" s="178"/>
      <c r="G965" s="178"/>
      <c r="H965" s="178"/>
    </row>
    <row r="966" spans="1:8" ht="12.75">
      <c r="A966" s="178"/>
      <c r="B966" s="178"/>
      <c r="C966" s="178"/>
      <c r="D966" s="178"/>
      <c r="E966" s="178"/>
      <c r="F966" s="178"/>
      <c r="G966" s="178"/>
      <c r="H966" s="178"/>
    </row>
    <row r="967" spans="1:8" ht="12.75">
      <c r="A967" s="178"/>
      <c r="B967" s="178"/>
      <c r="C967" s="178"/>
      <c r="D967" s="178"/>
      <c r="E967" s="178"/>
      <c r="F967" s="178"/>
      <c r="G967" s="178"/>
      <c r="H967" s="178"/>
    </row>
    <row r="968" spans="1:8" ht="12.75">
      <c r="A968" s="178"/>
      <c r="B968" s="178"/>
      <c r="C968" s="178"/>
      <c r="D968" s="178"/>
      <c r="E968" s="178"/>
      <c r="F968" s="178"/>
      <c r="G968" s="178"/>
      <c r="H968" s="178"/>
    </row>
    <row r="969" spans="1:8" ht="12.75">
      <c r="A969" s="178"/>
      <c r="B969" s="178"/>
      <c r="C969" s="178"/>
      <c r="D969" s="178"/>
      <c r="E969" s="178"/>
      <c r="F969" s="178"/>
      <c r="G969" s="178"/>
      <c r="H969" s="178"/>
    </row>
    <row r="970" spans="1:8" ht="12.75">
      <c r="A970" s="178"/>
      <c r="B970" s="178"/>
      <c r="C970" s="178"/>
      <c r="D970" s="178"/>
      <c r="E970" s="178"/>
      <c r="F970" s="178"/>
      <c r="G970" s="178"/>
      <c r="H970" s="178"/>
    </row>
    <row r="971" spans="1:8" ht="12.75">
      <c r="A971" s="178"/>
      <c r="B971" s="178"/>
      <c r="C971" s="178"/>
      <c r="D971" s="178"/>
      <c r="E971" s="178"/>
      <c r="F971" s="178"/>
      <c r="G971" s="178"/>
      <c r="H971" s="178"/>
    </row>
    <row r="972" spans="1:8" ht="12.75">
      <c r="A972" s="178"/>
      <c r="B972" s="178"/>
      <c r="C972" s="178"/>
      <c r="D972" s="178"/>
      <c r="E972" s="178"/>
      <c r="F972" s="178"/>
      <c r="G972" s="178"/>
      <c r="H972" s="178"/>
    </row>
    <row r="973" spans="1:8" ht="12.75">
      <c r="A973" s="178"/>
      <c r="B973" s="178"/>
      <c r="C973" s="178"/>
      <c r="D973" s="178"/>
      <c r="E973" s="178"/>
      <c r="F973" s="178"/>
      <c r="G973" s="178"/>
      <c r="H973" s="178"/>
    </row>
    <row r="974" spans="1:8" ht="12.75">
      <c r="A974" s="178"/>
      <c r="B974" s="178"/>
      <c r="C974" s="178"/>
      <c r="D974" s="178"/>
      <c r="E974" s="178"/>
      <c r="F974" s="178"/>
      <c r="G974" s="178"/>
      <c r="H974" s="178"/>
    </row>
    <row r="975" spans="1:8" ht="12.75">
      <c r="A975" s="178"/>
      <c r="B975" s="178"/>
      <c r="C975" s="178"/>
      <c r="D975" s="178"/>
      <c r="E975" s="178"/>
      <c r="F975" s="178"/>
      <c r="G975" s="178"/>
      <c r="H975" s="178"/>
    </row>
    <row r="976" spans="1:8" ht="12.75">
      <c r="A976" s="178"/>
      <c r="B976" s="178"/>
      <c r="C976" s="178"/>
      <c r="D976" s="178"/>
      <c r="E976" s="178"/>
      <c r="F976" s="178"/>
      <c r="G976" s="178"/>
      <c r="H976" s="178"/>
    </row>
    <row r="977" spans="1:8" ht="12.75">
      <c r="A977" s="178"/>
      <c r="B977" s="178"/>
      <c r="C977" s="178"/>
      <c r="D977" s="178"/>
      <c r="E977" s="178"/>
      <c r="F977" s="178"/>
      <c r="G977" s="178"/>
      <c r="H977" s="178"/>
    </row>
    <row r="978" spans="1:8" ht="12.75">
      <c r="A978" s="178"/>
      <c r="B978" s="178"/>
      <c r="C978" s="178"/>
      <c r="D978" s="178"/>
      <c r="E978" s="178"/>
      <c r="F978" s="178"/>
      <c r="G978" s="178"/>
      <c r="H978" s="178"/>
    </row>
    <row r="979" spans="1:8" ht="12.75">
      <c r="A979" s="178"/>
      <c r="B979" s="178"/>
      <c r="C979" s="178"/>
      <c r="D979" s="178"/>
      <c r="E979" s="178"/>
      <c r="F979" s="178"/>
      <c r="G979" s="178"/>
      <c r="H979" s="178"/>
    </row>
    <row r="980" spans="1:8" ht="12.75">
      <c r="A980" s="178"/>
      <c r="B980" s="178"/>
      <c r="C980" s="178"/>
      <c r="D980" s="178"/>
      <c r="E980" s="178"/>
      <c r="F980" s="178"/>
      <c r="G980" s="178"/>
      <c r="H980" s="178"/>
    </row>
    <row r="981" spans="1:8" ht="12.75">
      <c r="A981" s="178"/>
      <c r="B981" s="178"/>
      <c r="C981" s="178"/>
      <c r="D981" s="178"/>
      <c r="E981" s="178"/>
      <c r="F981" s="178"/>
      <c r="G981" s="178"/>
      <c r="H981" s="178"/>
    </row>
    <row r="982" spans="1:8" ht="12.75">
      <c r="A982" s="178"/>
      <c r="B982" s="178"/>
      <c r="C982" s="178"/>
      <c r="D982" s="178"/>
      <c r="E982" s="178"/>
      <c r="F982" s="178"/>
      <c r="G982" s="178"/>
      <c r="H982" s="178"/>
    </row>
  </sheetData>
  <mergeCells count="41">
    <mergeCell ref="J84:K84"/>
    <mergeCell ref="A60:A63"/>
    <mergeCell ref="J16:J17"/>
    <mergeCell ref="J18:J21"/>
    <mergeCell ref="I2:K2"/>
    <mergeCell ref="A5:B5"/>
    <mergeCell ref="I5:K5"/>
    <mergeCell ref="A6:A11"/>
    <mergeCell ref="I6:I24"/>
    <mergeCell ref="J6:J11"/>
    <mergeCell ref="J12:J15"/>
    <mergeCell ref="J24:K24"/>
    <mergeCell ref="J40:J43"/>
    <mergeCell ref="J44:K44"/>
    <mergeCell ref="I28:I44"/>
    <mergeCell ref="I48:I63"/>
    <mergeCell ref="A12:A15"/>
    <mergeCell ref="A16:A17"/>
    <mergeCell ref="A48:A53"/>
    <mergeCell ref="A54:A57"/>
    <mergeCell ref="A58:A59"/>
    <mergeCell ref="J60:J63"/>
    <mergeCell ref="J64:K64"/>
    <mergeCell ref="I67:K67"/>
    <mergeCell ref="J68:J73"/>
    <mergeCell ref="D6:D11"/>
    <mergeCell ref="D12:D17"/>
    <mergeCell ref="I68:I83"/>
    <mergeCell ref="J74:J77"/>
    <mergeCell ref="J78:J79"/>
    <mergeCell ref="J80:J83"/>
    <mergeCell ref="J38:J39"/>
    <mergeCell ref="I47:K47"/>
    <mergeCell ref="J48:J53"/>
    <mergeCell ref="J54:J57"/>
    <mergeCell ref="J58:J59"/>
    <mergeCell ref="J22:K22"/>
    <mergeCell ref="J23:K23"/>
    <mergeCell ref="I27:K27"/>
    <mergeCell ref="J28:J33"/>
    <mergeCell ref="J34:J37"/>
  </mergeCells>
  <phoneticPr fontId="86" type="noConversion"/>
  <conditionalFormatting sqref="L48:N59 AA51:AF51 AC59:AF63 AA63">
    <cfRule type="cellIs" dxfId="18" priority="2" operator="lessThanOrEqual">
      <formula>0</formula>
    </cfRule>
  </conditionalFormatting>
  <conditionalFormatting sqref="L68:AF83">
    <cfRule type="colorScale" priority="1">
      <colorScale>
        <cfvo type="formula" val="0"/>
        <cfvo type="formula" val="3"/>
        <cfvo type="formula" val="15"/>
        <color rgb="FF9FC5E8"/>
        <color rgb="FFFFFFFF"/>
        <color rgb="FFE67C73"/>
      </colorScale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99A9D"/>
    <outlinePr summaryBelow="0" summaryRight="0"/>
  </sheetPr>
  <dimension ref="A1:AF985"/>
  <sheetViews>
    <sheetView workbookViewId="0"/>
  </sheetViews>
  <sheetFormatPr defaultColWidth="14.42578125" defaultRowHeight="15.75" customHeight="1" outlineLevelRow="1"/>
  <cols>
    <col min="1" max="2" width="10.7109375" customWidth="1"/>
    <col min="3" max="3" width="13.140625" customWidth="1"/>
    <col min="4" max="4" width="12.140625" customWidth="1"/>
    <col min="5" max="7" width="10.7109375" customWidth="1"/>
    <col min="8" max="8" width="15.85546875" customWidth="1"/>
    <col min="11" max="19" width="14.42578125" hidden="1"/>
  </cols>
  <sheetData>
    <row r="1" spans="1:32" ht="12.75">
      <c r="A1" s="178"/>
      <c r="B1" s="178"/>
      <c r="C1" s="178"/>
      <c r="D1" s="178"/>
      <c r="E1" s="178"/>
      <c r="F1" s="178"/>
      <c r="G1" s="178"/>
      <c r="H1" s="179"/>
      <c r="I1" s="180"/>
      <c r="J1" s="180"/>
    </row>
    <row r="2" spans="1:32" ht="15">
      <c r="A2" s="178"/>
      <c r="B2" s="178"/>
      <c r="C2" s="178"/>
      <c r="D2" s="178"/>
      <c r="E2" s="178"/>
      <c r="F2" s="178"/>
      <c r="G2" s="178"/>
      <c r="H2" s="904" t="s">
        <v>91</v>
      </c>
      <c r="I2" s="905"/>
      <c r="J2" s="905"/>
      <c r="Q2" s="182" t="s">
        <v>92</v>
      </c>
      <c r="V2" s="7" t="s">
        <v>93</v>
      </c>
      <c r="W2" s="183" t="s">
        <v>95</v>
      </c>
      <c r="X2" s="184" t="s">
        <v>95</v>
      </c>
      <c r="Y2" s="184" t="s">
        <v>96</v>
      </c>
      <c r="Z2" s="7" t="s">
        <v>97</v>
      </c>
    </row>
    <row r="3" spans="1:32">
      <c r="A3" s="178"/>
      <c r="B3" s="178"/>
      <c r="C3" s="178"/>
      <c r="D3" s="178"/>
      <c r="E3" s="178"/>
      <c r="F3" s="178"/>
      <c r="G3" s="178"/>
      <c r="H3" s="185"/>
      <c r="I3" s="186"/>
      <c r="J3" s="186" t="s">
        <v>98</v>
      </c>
      <c r="T3" s="7" t="s">
        <v>99</v>
      </c>
      <c r="U3" s="7"/>
      <c r="V3" s="7">
        <v>2</v>
      </c>
      <c r="W3" s="7">
        <v>3</v>
      </c>
      <c r="X3" s="7">
        <v>4</v>
      </c>
      <c r="Y3" s="7">
        <v>5</v>
      </c>
      <c r="Z3" s="7">
        <v>6</v>
      </c>
      <c r="AA3" s="7">
        <v>7</v>
      </c>
      <c r="AB3" s="7">
        <v>8</v>
      </c>
      <c r="AC3" s="7">
        <v>9</v>
      </c>
      <c r="AF3" s="7"/>
    </row>
    <row r="4" spans="1:32" ht="12.75">
      <c r="A4" s="178"/>
      <c r="B4" s="178"/>
      <c r="C4" s="178"/>
      <c r="D4" s="178"/>
      <c r="E4" s="178"/>
      <c r="F4" s="178"/>
      <c r="G4" s="178"/>
      <c r="H4" s="6">
        <v>1750</v>
      </c>
      <c r="I4" s="186"/>
      <c r="J4" s="186" t="s">
        <v>101</v>
      </c>
      <c r="Q4" s="7" t="s">
        <v>102</v>
      </c>
      <c r="R4" s="7" t="s">
        <v>102</v>
      </c>
      <c r="T4" s="7" t="s">
        <v>103</v>
      </c>
      <c r="V4" s="7">
        <v>5</v>
      </c>
      <c r="W4" s="7">
        <v>6</v>
      </c>
      <c r="X4" s="7">
        <v>7</v>
      </c>
      <c r="Y4" s="7">
        <v>8</v>
      </c>
      <c r="Z4" s="7">
        <v>9</v>
      </c>
      <c r="AA4" s="7">
        <v>10</v>
      </c>
      <c r="AB4" s="7">
        <v>11</v>
      </c>
      <c r="AC4" s="7">
        <v>12</v>
      </c>
      <c r="AF4" s="7"/>
    </row>
    <row r="5" spans="1:32" ht="15">
      <c r="A5" s="178"/>
      <c r="B5" s="178"/>
      <c r="C5" s="150" t="s">
        <v>7</v>
      </c>
      <c r="D5" s="178"/>
      <c r="E5" s="2" t="s">
        <v>9</v>
      </c>
      <c r="F5" s="178" t="s">
        <v>59</v>
      </c>
      <c r="G5" s="151" t="s">
        <v>12</v>
      </c>
      <c r="H5" s="907" t="s">
        <v>13</v>
      </c>
      <c r="I5" s="879"/>
      <c r="J5" s="860"/>
      <c r="K5" s="14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5" t="s">
        <v>23</v>
      </c>
      <c r="U5" s="16" t="s">
        <v>107</v>
      </c>
      <c r="V5" s="14" t="s">
        <v>25</v>
      </c>
      <c r="W5" s="14" t="s">
        <v>26</v>
      </c>
      <c r="X5" s="14" t="s">
        <v>15</v>
      </c>
      <c r="Y5" s="14" t="s">
        <v>16</v>
      </c>
      <c r="Z5" s="14" t="s">
        <v>17</v>
      </c>
      <c r="AA5" s="16" t="s">
        <v>18</v>
      </c>
      <c r="AB5" s="18" t="s">
        <v>19</v>
      </c>
      <c r="AC5" s="18" t="s">
        <v>20</v>
      </c>
      <c r="AD5" s="18" t="s">
        <v>21</v>
      </c>
      <c r="AE5" s="18" t="s">
        <v>22</v>
      </c>
      <c r="AF5" s="7"/>
    </row>
    <row r="6" spans="1:32" ht="15">
      <c r="A6" s="891" t="s">
        <v>27</v>
      </c>
      <c r="B6" s="188" t="s">
        <v>110</v>
      </c>
      <c r="C6" s="285">
        <v>0</v>
      </c>
      <c r="D6" s="913">
        <f>SUM(C6:C13)</f>
        <v>0</v>
      </c>
      <c r="E6" s="2">
        <f>D6/22</f>
        <v>0</v>
      </c>
      <c r="F6" s="178">
        <v>576</v>
      </c>
      <c r="G6" s="153">
        <f t="shared" ref="G6:G7" si="0">Z6/6</f>
        <v>0</v>
      </c>
      <c r="H6" s="908" t="s">
        <v>28</v>
      </c>
      <c r="I6" s="891" t="s">
        <v>27</v>
      </c>
      <c r="J6" s="190" t="s">
        <v>110</v>
      </c>
      <c r="K6" s="28"/>
      <c r="L6" s="28"/>
      <c r="M6" s="28">
        <v>540</v>
      </c>
      <c r="N6" s="28">
        <v>282</v>
      </c>
      <c r="O6" s="28">
        <v>1080</v>
      </c>
      <c r="P6" s="28">
        <v>540</v>
      </c>
      <c r="Q6" s="28">
        <v>270</v>
      </c>
      <c r="R6" s="28"/>
      <c r="S6" s="28">
        <v>1620</v>
      </c>
      <c r="T6" s="191"/>
      <c r="U6" s="192"/>
      <c r="V6" s="28"/>
      <c r="W6" s="28"/>
      <c r="X6" s="28"/>
      <c r="Y6" s="28"/>
      <c r="Z6" s="28">
        <f t="shared" ref="Z6:Z7" si="1">45*6*$C6</f>
        <v>0</v>
      </c>
      <c r="AA6" s="192"/>
      <c r="AB6" s="194"/>
      <c r="AC6" s="194"/>
      <c r="AD6" s="194"/>
      <c r="AE6" s="194"/>
      <c r="AF6" s="7"/>
    </row>
    <row r="7" spans="1:32" ht="15">
      <c r="A7" s="865"/>
      <c r="B7" s="188">
        <v>1</v>
      </c>
      <c r="C7" s="287">
        <v>0</v>
      </c>
      <c r="D7" s="869"/>
      <c r="E7" s="178"/>
      <c r="F7" s="178">
        <v>432</v>
      </c>
      <c r="G7" s="153">
        <f t="shared" si="0"/>
        <v>0</v>
      </c>
      <c r="H7" s="869"/>
      <c r="I7" s="865"/>
      <c r="J7" s="190">
        <v>1</v>
      </c>
      <c r="K7" s="196">
        <v>2700</v>
      </c>
      <c r="L7" s="196"/>
      <c r="M7" s="196">
        <v>2160</v>
      </c>
      <c r="N7" s="196">
        <v>5400</v>
      </c>
      <c r="O7" s="196">
        <v>2970</v>
      </c>
      <c r="P7" s="196">
        <v>2220</v>
      </c>
      <c r="Q7" s="196">
        <v>1620</v>
      </c>
      <c r="R7" s="196"/>
      <c r="S7" s="196">
        <v>3780</v>
      </c>
      <c r="T7" s="191"/>
      <c r="U7" s="192"/>
      <c r="V7" s="196"/>
      <c r="W7" s="196"/>
      <c r="X7" s="196"/>
      <c r="Y7" s="196"/>
      <c r="Z7" s="196">
        <f t="shared" si="1"/>
        <v>0</v>
      </c>
      <c r="AA7" s="192"/>
      <c r="AB7" s="194"/>
      <c r="AC7" s="194"/>
      <c r="AD7" s="194"/>
      <c r="AE7" s="194"/>
      <c r="AF7" s="7"/>
    </row>
    <row r="8" spans="1:32" ht="15" hidden="1">
      <c r="A8" s="865"/>
      <c r="B8" s="188" t="s">
        <v>141</v>
      </c>
      <c r="C8" s="287">
        <v>0</v>
      </c>
      <c r="D8" s="869"/>
      <c r="E8" s="178"/>
      <c r="F8" s="178"/>
      <c r="G8" s="153">
        <f>Y8/6</f>
        <v>0</v>
      </c>
      <c r="H8" s="869"/>
      <c r="I8" s="865"/>
      <c r="J8" s="190" t="s">
        <v>141</v>
      </c>
      <c r="K8" s="196"/>
      <c r="L8" s="196"/>
      <c r="M8" s="196"/>
      <c r="N8" s="196"/>
      <c r="O8" s="196"/>
      <c r="P8" s="196"/>
      <c r="Q8" s="196"/>
      <c r="R8" s="196"/>
      <c r="S8" s="196"/>
      <c r="U8" s="192"/>
      <c r="V8" s="196"/>
      <c r="W8" s="196"/>
      <c r="X8" s="196">
        <v>0</v>
      </c>
      <c r="Y8" s="196"/>
      <c r="Z8" s="196"/>
      <c r="AA8" s="192"/>
      <c r="AB8" s="194"/>
      <c r="AC8" s="194"/>
      <c r="AD8" s="194"/>
      <c r="AE8" s="194"/>
      <c r="AF8" s="7"/>
    </row>
    <row r="9" spans="1:32" ht="15">
      <c r="A9" s="865"/>
      <c r="B9" s="188" t="s">
        <v>119</v>
      </c>
      <c r="C9" s="287">
        <v>0</v>
      </c>
      <c r="D9" s="869"/>
      <c r="E9" s="178"/>
      <c r="F9" s="178">
        <v>600</v>
      </c>
      <c r="G9" s="153">
        <f t="shared" ref="G9:G10" si="2">Z9/6</f>
        <v>0</v>
      </c>
      <c r="H9" s="869"/>
      <c r="I9" s="865"/>
      <c r="J9" s="190" t="s">
        <v>119</v>
      </c>
      <c r="K9" s="196">
        <v>2736</v>
      </c>
      <c r="L9" s="196"/>
      <c r="M9" s="196"/>
      <c r="N9" s="196"/>
      <c r="O9" s="196">
        <v>7140</v>
      </c>
      <c r="P9" s="196"/>
      <c r="Q9" s="196"/>
      <c r="R9" s="196">
        <v>3480</v>
      </c>
      <c r="S9" s="196">
        <v>3240</v>
      </c>
      <c r="T9" s="191"/>
      <c r="U9" s="192"/>
      <c r="V9" s="201">
        <f>1620*4+192*4-7248</f>
        <v>0</v>
      </c>
      <c r="W9" s="196"/>
      <c r="X9" s="196"/>
      <c r="Y9" s="196"/>
      <c r="Z9" s="196">
        <f>90*4*$C9</f>
        <v>0</v>
      </c>
      <c r="AA9" s="192"/>
      <c r="AB9" s="200"/>
      <c r="AC9" s="200"/>
      <c r="AD9" s="200"/>
      <c r="AE9" s="200"/>
      <c r="AF9" s="7"/>
    </row>
    <row r="10" spans="1:32" ht="15">
      <c r="A10" s="865"/>
      <c r="B10" s="188">
        <v>2</v>
      </c>
      <c r="C10" s="287">
        <v>0</v>
      </c>
      <c r="D10" s="869"/>
      <c r="E10" s="178"/>
      <c r="F10" s="178">
        <v>720</v>
      </c>
      <c r="G10" s="153">
        <f t="shared" si="2"/>
        <v>0</v>
      </c>
      <c r="H10" s="869"/>
      <c r="I10" s="865"/>
      <c r="J10" s="190">
        <v>2</v>
      </c>
      <c r="K10" s="196"/>
      <c r="L10" s="196"/>
      <c r="M10" s="196">
        <v>540</v>
      </c>
      <c r="N10" s="196"/>
      <c r="O10" s="196">
        <v>1620</v>
      </c>
      <c r="P10" s="196">
        <v>1080</v>
      </c>
      <c r="Q10" s="196">
        <v>1080</v>
      </c>
      <c r="R10" s="196"/>
      <c r="S10" s="196">
        <v>7830</v>
      </c>
      <c r="T10" s="191"/>
      <c r="U10" s="192"/>
      <c r="V10" s="196"/>
      <c r="W10" s="196"/>
      <c r="X10" s="201">
        <f>5940-5940</f>
        <v>0</v>
      </c>
      <c r="Y10" s="196"/>
      <c r="Z10" s="196">
        <f>45*6*$C10</f>
        <v>0</v>
      </c>
      <c r="AA10" s="192"/>
      <c r="AB10" s="194"/>
      <c r="AC10" s="194"/>
      <c r="AD10" s="194"/>
      <c r="AE10" s="194"/>
      <c r="AF10" s="7"/>
    </row>
    <row r="11" spans="1:32" ht="15" hidden="1">
      <c r="A11" s="865"/>
      <c r="B11" s="188" t="s">
        <v>142</v>
      </c>
      <c r="C11" s="287">
        <v>0</v>
      </c>
      <c r="D11" s="869"/>
      <c r="E11" s="178"/>
      <c r="F11" s="178"/>
      <c r="G11" s="153">
        <f>Y11/6</f>
        <v>0</v>
      </c>
      <c r="H11" s="869"/>
      <c r="I11" s="865"/>
      <c r="J11" s="190" t="s">
        <v>142</v>
      </c>
      <c r="K11" s="196"/>
      <c r="L11" s="196"/>
      <c r="M11" s="196"/>
      <c r="N11" s="196"/>
      <c r="O11" s="196"/>
      <c r="P11" s="196"/>
      <c r="Q11" s="196"/>
      <c r="R11" s="196"/>
      <c r="S11" s="196"/>
      <c r="T11" s="191"/>
      <c r="U11" s="192"/>
      <c r="V11" s="196"/>
      <c r="W11" s="196"/>
      <c r="X11" s="196">
        <v>0</v>
      </c>
      <c r="Y11" s="196"/>
      <c r="Z11" s="196"/>
      <c r="AA11" s="192"/>
      <c r="AB11" s="194"/>
      <c r="AC11" s="194"/>
      <c r="AD11" s="194"/>
      <c r="AE11" s="194"/>
      <c r="AF11" s="7"/>
    </row>
    <row r="12" spans="1:32" ht="15">
      <c r="A12" s="865"/>
      <c r="B12" s="188" t="s">
        <v>124</v>
      </c>
      <c r="C12" s="287">
        <v>0</v>
      </c>
      <c r="D12" s="869"/>
      <c r="E12" s="178"/>
      <c r="F12" s="178">
        <v>600</v>
      </c>
      <c r="G12" s="153">
        <f t="shared" ref="G12:G19" si="3">Z12/6</f>
        <v>0</v>
      </c>
      <c r="H12" s="869"/>
      <c r="I12" s="865"/>
      <c r="J12" s="190" t="s">
        <v>124</v>
      </c>
      <c r="K12" s="196">
        <v>2472</v>
      </c>
      <c r="L12" s="196"/>
      <c r="M12" s="196"/>
      <c r="N12" s="196"/>
      <c r="O12" s="196">
        <v>6368</v>
      </c>
      <c r="P12" s="196">
        <v>4548</v>
      </c>
      <c r="Q12" s="196">
        <v>2152</v>
      </c>
      <c r="R12" s="196">
        <v>3680</v>
      </c>
      <c r="S12" s="196">
        <v>8196</v>
      </c>
      <c r="T12" s="191">
        <v>4840</v>
      </c>
      <c r="U12" s="192"/>
      <c r="V12" s="196"/>
      <c r="W12" s="196"/>
      <c r="X12" s="196"/>
      <c r="Y12" s="196"/>
      <c r="Z12" s="196">
        <f>90*4*$C9</f>
        <v>0</v>
      </c>
      <c r="AA12" s="192"/>
      <c r="AB12" s="194"/>
      <c r="AC12" s="194"/>
      <c r="AD12" s="194"/>
      <c r="AE12" s="194"/>
      <c r="AF12" s="7"/>
    </row>
    <row r="13" spans="1:32" ht="15">
      <c r="A13" s="866"/>
      <c r="B13" s="188">
        <v>3</v>
      </c>
      <c r="C13" s="287">
        <v>0</v>
      </c>
      <c r="D13" s="870"/>
      <c r="E13" s="178"/>
      <c r="F13" s="178">
        <v>144</v>
      </c>
      <c r="G13" s="153">
        <f t="shared" si="3"/>
        <v>0</v>
      </c>
      <c r="H13" s="869"/>
      <c r="I13" s="866"/>
      <c r="J13" s="190">
        <v>3</v>
      </c>
      <c r="K13" s="196"/>
      <c r="L13" s="196"/>
      <c r="M13" s="196">
        <v>1620</v>
      </c>
      <c r="N13" s="196">
        <v>270</v>
      </c>
      <c r="O13" s="196"/>
      <c r="P13" s="196">
        <v>540</v>
      </c>
      <c r="Q13" s="196"/>
      <c r="R13" s="196"/>
      <c r="S13" s="202">
        <f>3780+810</f>
        <v>4590</v>
      </c>
      <c r="T13" s="191"/>
      <c r="U13" s="192"/>
      <c r="V13" s="196"/>
      <c r="W13" s="196"/>
      <c r="X13" s="196"/>
      <c r="Y13" s="196"/>
      <c r="Z13" s="196">
        <f>45*6*$C13</f>
        <v>0</v>
      </c>
      <c r="AA13" s="192"/>
      <c r="AB13" s="194"/>
      <c r="AC13" s="194"/>
      <c r="AD13" s="194"/>
      <c r="AE13" s="194"/>
      <c r="AF13" s="7"/>
    </row>
    <row r="14" spans="1:32" ht="15">
      <c r="A14" s="892" t="s">
        <v>32</v>
      </c>
      <c r="B14" s="203" t="s">
        <v>110</v>
      </c>
      <c r="C14" s="288">
        <v>0</v>
      </c>
      <c r="D14" s="914">
        <f>SUM(C14:C20)</f>
        <v>1</v>
      </c>
      <c r="E14" s="2">
        <f>D14/25</f>
        <v>0.04</v>
      </c>
      <c r="F14" s="178">
        <v>1248</v>
      </c>
      <c r="G14" s="153">
        <f t="shared" si="3"/>
        <v>0</v>
      </c>
      <c r="H14" s="869"/>
      <c r="I14" s="892" t="s">
        <v>32</v>
      </c>
      <c r="J14" s="205" t="s">
        <v>110</v>
      </c>
      <c r="K14" s="196">
        <v>4224</v>
      </c>
      <c r="L14" s="196">
        <v>14076</v>
      </c>
      <c r="M14" s="196">
        <v>10364</v>
      </c>
      <c r="N14" s="196">
        <v>25824</v>
      </c>
      <c r="O14" s="196">
        <v>17036</v>
      </c>
      <c r="P14" s="196">
        <v>4304</v>
      </c>
      <c r="Q14" s="196"/>
      <c r="R14" s="196">
        <v>29184</v>
      </c>
      <c r="S14" s="196"/>
      <c r="T14" s="201">
        <v>1536</v>
      </c>
      <c r="U14" s="192"/>
      <c r="V14" s="196"/>
      <c r="W14" s="196"/>
      <c r="X14" s="196"/>
      <c r="Y14" s="196"/>
      <c r="Z14" s="196">
        <f t="shared" ref="Z14:Z17" si="4">96*4*$C14</f>
        <v>0</v>
      </c>
      <c r="AA14" s="192"/>
      <c r="AB14" s="194"/>
      <c r="AC14" s="194"/>
      <c r="AD14" s="194"/>
      <c r="AE14" s="194"/>
      <c r="AF14" s="7"/>
    </row>
    <row r="15" spans="1:32" ht="15">
      <c r="A15" s="865"/>
      <c r="B15" s="203">
        <v>1</v>
      </c>
      <c r="C15" s="288">
        <v>0</v>
      </c>
      <c r="D15" s="869"/>
      <c r="E15" s="178"/>
      <c r="F15" s="178">
        <v>1248</v>
      </c>
      <c r="G15" s="153">
        <f t="shared" si="3"/>
        <v>0</v>
      </c>
      <c r="H15" s="869"/>
      <c r="I15" s="865"/>
      <c r="J15" s="205">
        <v>1</v>
      </c>
      <c r="K15" s="196">
        <v>32988</v>
      </c>
      <c r="L15" s="196">
        <v>4608</v>
      </c>
      <c r="M15" s="196">
        <v>22656</v>
      </c>
      <c r="N15" s="196">
        <v>83564</v>
      </c>
      <c r="O15" s="196">
        <v>23448</v>
      </c>
      <c r="P15" s="196"/>
      <c r="Q15" s="196"/>
      <c r="R15" s="196">
        <v>30528</v>
      </c>
      <c r="S15" s="196"/>
      <c r="T15" s="201">
        <v>10368</v>
      </c>
      <c r="U15" s="192"/>
      <c r="V15" s="196"/>
      <c r="W15" s="196"/>
      <c r="X15" s="196"/>
      <c r="Y15" s="196"/>
      <c r="Z15" s="196">
        <f t="shared" si="4"/>
        <v>0</v>
      </c>
      <c r="AA15" s="192"/>
      <c r="AB15" s="194"/>
      <c r="AC15" s="194"/>
      <c r="AD15" s="194"/>
      <c r="AE15" s="194"/>
      <c r="AF15" s="7"/>
    </row>
    <row r="16" spans="1:32" ht="15">
      <c r="A16" s="865"/>
      <c r="B16" s="203">
        <v>2</v>
      </c>
      <c r="C16" s="288">
        <v>0</v>
      </c>
      <c r="D16" s="869"/>
      <c r="E16" s="178"/>
      <c r="F16" s="178">
        <v>1632</v>
      </c>
      <c r="G16" s="153">
        <f t="shared" si="3"/>
        <v>0</v>
      </c>
      <c r="H16" s="869"/>
      <c r="I16" s="865"/>
      <c r="J16" s="205">
        <v>2</v>
      </c>
      <c r="K16" s="196">
        <v>13824</v>
      </c>
      <c r="L16" s="196">
        <v>45432</v>
      </c>
      <c r="M16" s="196">
        <v>43776</v>
      </c>
      <c r="N16" s="196">
        <v>38400</v>
      </c>
      <c r="O16" s="196">
        <v>21032</v>
      </c>
      <c r="P16" s="196">
        <v>29628</v>
      </c>
      <c r="Q16" s="196">
        <v>5660</v>
      </c>
      <c r="R16" s="196">
        <v>33124</v>
      </c>
      <c r="S16" s="196"/>
      <c r="T16" s="201">
        <v>14208</v>
      </c>
      <c r="U16" s="192"/>
      <c r="V16" s="196"/>
      <c r="W16" s="196"/>
      <c r="X16" s="196"/>
      <c r="Y16" s="196"/>
      <c r="Z16" s="196">
        <f t="shared" si="4"/>
        <v>0</v>
      </c>
      <c r="AA16" s="192"/>
      <c r="AB16" s="194"/>
      <c r="AC16" s="194"/>
      <c r="AD16" s="194"/>
      <c r="AE16" s="194"/>
      <c r="AF16" s="7"/>
    </row>
    <row r="17" spans="1:32" ht="15">
      <c r="A17" s="865"/>
      <c r="B17" s="203" t="s">
        <v>131</v>
      </c>
      <c r="C17" s="288">
        <v>0</v>
      </c>
      <c r="D17" s="869"/>
      <c r="E17" s="178"/>
      <c r="F17" s="178"/>
      <c r="G17" s="153">
        <f t="shared" si="3"/>
        <v>0</v>
      </c>
      <c r="H17" s="869"/>
      <c r="I17" s="865"/>
      <c r="J17" s="205" t="s">
        <v>131</v>
      </c>
      <c r="K17" s="196">
        <v>384</v>
      </c>
      <c r="L17" s="196">
        <v>4736</v>
      </c>
      <c r="M17" s="196">
        <v>3236</v>
      </c>
      <c r="N17" s="196">
        <v>8744</v>
      </c>
      <c r="O17" s="196">
        <v>3624</v>
      </c>
      <c r="P17" s="196">
        <v>2068</v>
      </c>
      <c r="Q17" s="196">
        <v>3380</v>
      </c>
      <c r="R17" s="196">
        <v>1920</v>
      </c>
      <c r="S17" s="196"/>
      <c r="T17" s="201">
        <v>3456</v>
      </c>
      <c r="U17" s="192"/>
      <c r="V17" s="196"/>
      <c r="W17" s="196"/>
      <c r="X17" s="196"/>
      <c r="Y17" s="196"/>
      <c r="Z17" s="196">
        <f t="shared" si="4"/>
        <v>0</v>
      </c>
      <c r="AA17" s="192"/>
      <c r="AB17" s="194"/>
      <c r="AC17" s="194"/>
      <c r="AD17" s="194"/>
      <c r="AE17" s="194"/>
      <c r="AF17" s="7"/>
    </row>
    <row r="18" spans="1:32" ht="15">
      <c r="A18" s="866"/>
      <c r="B18" s="203" t="s">
        <v>143</v>
      </c>
      <c r="C18" s="288">
        <v>0</v>
      </c>
      <c r="D18" s="869"/>
      <c r="E18" s="178"/>
      <c r="F18" s="178"/>
      <c r="G18" s="153">
        <f t="shared" si="3"/>
        <v>0</v>
      </c>
      <c r="H18" s="869"/>
      <c r="I18" s="866"/>
      <c r="J18" s="205" t="s">
        <v>143</v>
      </c>
      <c r="K18" s="211"/>
      <c r="L18" s="211"/>
      <c r="M18" s="211"/>
      <c r="N18" s="211"/>
      <c r="O18" s="211"/>
      <c r="P18" s="211"/>
      <c r="Q18" s="211"/>
      <c r="R18" s="211"/>
      <c r="S18" s="211"/>
      <c r="T18" s="191"/>
      <c r="U18" s="289"/>
      <c r="V18" s="196"/>
      <c r="W18" s="117"/>
      <c r="X18" s="117"/>
      <c r="Y18" s="117"/>
      <c r="Z18" s="117">
        <v>0</v>
      </c>
      <c r="AA18" s="289"/>
      <c r="AB18" s="213"/>
      <c r="AC18" s="213"/>
      <c r="AD18" s="213"/>
      <c r="AE18" s="213"/>
      <c r="AF18" s="7"/>
    </row>
    <row r="19" spans="1:32" ht="15">
      <c r="A19" s="893" t="s">
        <v>132</v>
      </c>
      <c r="B19" s="208" t="s">
        <v>133</v>
      </c>
      <c r="C19" s="290">
        <v>0</v>
      </c>
      <c r="D19" s="869"/>
      <c r="E19" s="178"/>
      <c r="F19" s="178"/>
      <c r="G19" s="153">
        <f t="shared" si="3"/>
        <v>0</v>
      </c>
      <c r="H19" s="869"/>
      <c r="I19" s="893" t="s">
        <v>132</v>
      </c>
      <c r="J19" s="210" t="s">
        <v>133</v>
      </c>
      <c r="K19" s="211"/>
      <c r="L19" s="117">
        <v>1008</v>
      </c>
      <c r="M19" s="117"/>
      <c r="N19" s="117"/>
      <c r="O19" s="117"/>
      <c r="P19" s="117"/>
      <c r="Q19" s="117"/>
      <c r="R19" s="117"/>
      <c r="S19" s="117"/>
      <c r="T19" s="202">
        <v>3024</v>
      </c>
      <c r="U19" s="212"/>
      <c r="V19" s="196"/>
      <c r="W19" s="117"/>
      <c r="X19" s="117"/>
      <c r="Y19" s="117"/>
      <c r="Z19" s="117">
        <f t="shared" ref="Z19:Z20" si="5">42*24*$C19</f>
        <v>0</v>
      </c>
      <c r="AA19" s="212"/>
      <c r="AB19" s="213"/>
      <c r="AC19" s="213"/>
      <c r="AD19" s="213"/>
      <c r="AE19" s="213"/>
      <c r="AF19" s="7"/>
    </row>
    <row r="20" spans="1:32" ht="15">
      <c r="A20" s="866"/>
      <c r="B20" s="208" t="s">
        <v>134</v>
      </c>
      <c r="C20" s="291">
        <v>1</v>
      </c>
      <c r="D20" s="870"/>
      <c r="E20" s="178"/>
      <c r="F20" s="178"/>
      <c r="G20" s="158">
        <f>Z20/24</f>
        <v>42</v>
      </c>
      <c r="H20" s="869"/>
      <c r="I20" s="866"/>
      <c r="J20" s="210" t="s">
        <v>134</v>
      </c>
      <c r="K20" s="211"/>
      <c r="L20" s="211"/>
      <c r="M20" s="117">
        <v>1008</v>
      </c>
      <c r="N20" s="117">
        <v>1008</v>
      </c>
      <c r="O20" s="117"/>
      <c r="P20" s="117"/>
      <c r="Q20" s="117"/>
      <c r="R20" s="117"/>
      <c r="S20" s="117"/>
      <c r="T20" s="191"/>
      <c r="U20" s="212"/>
      <c r="V20" s="196"/>
      <c r="W20" s="117"/>
      <c r="X20" s="117"/>
      <c r="Y20" s="117"/>
      <c r="Z20" s="214">
        <f t="shared" si="5"/>
        <v>1008</v>
      </c>
      <c r="AA20" s="212"/>
      <c r="AB20" s="213"/>
      <c r="AC20" s="213"/>
      <c r="AD20" s="213"/>
      <c r="AE20" s="213"/>
      <c r="AF20" s="7"/>
    </row>
    <row r="21" spans="1:32" ht="12.75">
      <c r="A21" s="178"/>
      <c r="B21" s="178"/>
      <c r="C21" s="178"/>
      <c r="D21" s="178"/>
      <c r="E21" s="178"/>
      <c r="F21" s="178"/>
      <c r="G21" s="178"/>
      <c r="H21" s="869"/>
      <c r="I21" s="895" t="s">
        <v>135</v>
      </c>
      <c r="J21" s="217" t="s">
        <v>136</v>
      </c>
      <c r="K21" s="211"/>
      <c r="L21" s="211"/>
      <c r="M21" s="117">
        <v>3432</v>
      </c>
      <c r="N21" s="117"/>
      <c r="O21" s="117">
        <v>3432</v>
      </c>
      <c r="P21" s="117">
        <v>6864</v>
      </c>
      <c r="Q21" s="117"/>
      <c r="R21" s="117"/>
      <c r="S21" s="117"/>
      <c r="T21" s="218">
        <v>3432</v>
      </c>
      <c r="U21" s="212"/>
      <c r="V21" s="117"/>
      <c r="W21" s="117"/>
      <c r="X21" s="117"/>
      <c r="Y21" s="117"/>
      <c r="Z21" s="117"/>
      <c r="AA21" s="212">
        <v>3432</v>
      </c>
      <c r="AB21" s="213"/>
      <c r="AC21" s="213"/>
      <c r="AD21" s="213"/>
      <c r="AE21" s="213"/>
      <c r="AF21" s="7"/>
    </row>
    <row r="22" spans="1:32" ht="15">
      <c r="A22" s="178"/>
      <c r="B22" s="1"/>
      <c r="C22" s="178"/>
      <c r="D22" s="178"/>
      <c r="E22" s="178"/>
      <c r="F22" s="178"/>
      <c r="G22" s="178"/>
      <c r="H22" s="869"/>
      <c r="I22" s="865"/>
      <c r="J22" s="217" t="s">
        <v>137</v>
      </c>
      <c r="K22" s="211"/>
      <c r="L22" s="211"/>
      <c r="M22" s="117">
        <v>3432</v>
      </c>
      <c r="N22" s="117"/>
      <c r="O22" s="117">
        <v>3432</v>
      </c>
      <c r="P22" s="117">
        <v>6864</v>
      </c>
      <c r="Q22" s="117"/>
      <c r="R22" s="117"/>
      <c r="S22" s="117"/>
      <c r="T22" s="218">
        <v>3432</v>
      </c>
      <c r="U22" s="212"/>
      <c r="V22" s="117"/>
      <c r="W22" s="117"/>
      <c r="X22" s="117"/>
      <c r="Y22" s="117"/>
      <c r="Z22" s="117"/>
      <c r="AA22" s="212">
        <v>3432</v>
      </c>
      <c r="AB22" s="213"/>
      <c r="AC22" s="213"/>
      <c r="AD22" s="213"/>
      <c r="AE22" s="213"/>
      <c r="AF22" s="7"/>
    </row>
    <row r="23" spans="1:32" ht="12.75">
      <c r="A23" s="178"/>
      <c r="B23" s="178"/>
      <c r="C23" s="178"/>
      <c r="D23" s="178"/>
      <c r="E23" s="178"/>
      <c r="F23" s="178"/>
      <c r="G23" s="178"/>
      <c r="H23" s="869"/>
      <c r="I23" s="865"/>
      <c r="J23" s="217" t="s">
        <v>138</v>
      </c>
      <c r="K23" s="211"/>
      <c r="L23" s="211"/>
      <c r="M23" s="117">
        <v>3432</v>
      </c>
      <c r="N23" s="117"/>
      <c r="O23" s="117">
        <v>3432</v>
      </c>
      <c r="P23" s="117"/>
      <c r="Q23" s="117"/>
      <c r="R23" s="117"/>
      <c r="S23" s="117"/>
      <c r="T23" s="218">
        <v>3432</v>
      </c>
      <c r="U23" s="212"/>
      <c r="V23" s="117"/>
      <c r="W23" s="117"/>
      <c r="X23" s="117"/>
      <c r="Y23" s="117"/>
      <c r="Z23" s="117"/>
      <c r="AA23" s="212">
        <v>6864</v>
      </c>
      <c r="AB23" s="213"/>
      <c r="AC23" s="213"/>
      <c r="AD23" s="213"/>
      <c r="AE23" s="213"/>
      <c r="AF23" s="7"/>
    </row>
    <row r="24" spans="1:32" ht="12.75">
      <c r="A24" s="178"/>
      <c r="B24" s="178"/>
      <c r="C24" s="178"/>
      <c r="D24" s="178"/>
      <c r="E24" s="178"/>
      <c r="F24" s="178"/>
      <c r="G24" s="178"/>
      <c r="H24" s="869"/>
      <c r="I24" s="866"/>
      <c r="J24" s="217" t="s">
        <v>139</v>
      </c>
      <c r="K24" s="211"/>
      <c r="L24" s="211"/>
      <c r="M24" s="117">
        <v>3432</v>
      </c>
      <c r="N24" s="117"/>
      <c r="O24" s="117">
        <v>3432</v>
      </c>
      <c r="P24" s="117"/>
      <c r="Q24" s="117"/>
      <c r="R24" s="117"/>
      <c r="S24" s="117"/>
      <c r="T24" s="218">
        <v>3432</v>
      </c>
      <c r="U24" s="212"/>
      <c r="V24" s="117"/>
      <c r="W24" s="117"/>
      <c r="X24" s="117"/>
      <c r="Y24" s="117"/>
      <c r="Z24" s="117"/>
      <c r="AA24" s="212">
        <v>6864</v>
      </c>
      <c r="AB24" s="213"/>
      <c r="AC24" s="213"/>
      <c r="AD24" s="213"/>
      <c r="AE24" s="213"/>
      <c r="AF24" s="7"/>
    </row>
    <row r="25" spans="1:32" ht="12.75">
      <c r="A25" s="178"/>
      <c r="B25" s="178"/>
      <c r="C25" s="178"/>
      <c r="D25" s="178"/>
      <c r="E25" s="178"/>
      <c r="F25" s="178"/>
      <c r="G25" s="178"/>
      <c r="H25" s="869"/>
      <c r="I25" s="889" t="s">
        <v>38</v>
      </c>
      <c r="J25" s="860"/>
      <c r="K25" s="224">
        <f t="shared" ref="K25:AE25" si="6">SUM(K6:K24)</f>
        <v>59328</v>
      </c>
      <c r="L25" s="224">
        <f t="shared" si="6"/>
        <v>69860</v>
      </c>
      <c r="M25" s="224">
        <f t="shared" si="6"/>
        <v>99628</v>
      </c>
      <c r="N25" s="224">
        <f t="shared" si="6"/>
        <v>163492</v>
      </c>
      <c r="O25" s="224">
        <f t="shared" si="6"/>
        <v>98046</v>
      </c>
      <c r="P25" s="224">
        <f t="shared" si="6"/>
        <v>58656</v>
      </c>
      <c r="Q25" s="224">
        <f t="shared" si="6"/>
        <v>14162</v>
      </c>
      <c r="R25" s="224">
        <f t="shared" si="6"/>
        <v>101916</v>
      </c>
      <c r="S25" s="224">
        <f t="shared" si="6"/>
        <v>29256</v>
      </c>
      <c r="T25" s="224">
        <f t="shared" si="6"/>
        <v>51160</v>
      </c>
      <c r="U25" s="225">
        <f t="shared" si="6"/>
        <v>0</v>
      </c>
      <c r="V25" s="224">
        <f t="shared" si="6"/>
        <v>0</v>
      </c>
      <c r="W25" s="224">
        <f t="shared" si="6"/>
        <v>0</v>
      </c>
      <c r="X25" s="224">
        <f t="shared" si="6"/>
        <v>0</v>
      </c>
      <c r="Y25" s="224">
        <f t="shared" si="6"/>
        <v>0</v>
      </c>
      <c r="Z25" s="224">
        <f t="shared" si="6"/>
        <v>1008</v>
      </c>
      <c r="AA25" s="225">
        <f t="shared" si="6"/>
        <v>20592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7"/>
    </row>
    <row r="26" spans="1:32" ht="12.75">
      <c r="A26" s="178"/>
      <c r="B26" s="178"/>
      <c r="C26" s="178"/>
      <c r="D26" s="178"/>
      <c r="E26" s="178"/>
      <c r="F26" s="178"/>
      <c r="G26" s="178"/>
      <c r="H26" s="869"/>
      <c r="I26" s="889" t="s">
        <v>39</v>
      </c>
      <c r="J26" s="860"/>
      <c r="K26" s="224">
        <f>금액!E34</f>
        <v>1131080.52</v>
      </c>
      <c r="L26" s="224">
        <f>금액!F34</f>
        <v>1283335.2</v>
      </c>
      <c r="M26" s="224">
        <f>금액!G34</f>
        <v>1628142.52</v>
      </c>
      <c r="N26" s="224">
        <f>금액!H34</f>
        <v>3034407.52</v>
      </c>
      <c r="O26" s="224">
        <f>금액!I34</f>
        <v>1526571.14</v>
      </c>
      <c r="P26" s="224">
        <f>금액!J34</f>
        <v>827218.72000000009</v>
      </c>
      <c r="Q26" s="224">
        <f>금액!K34</f>
        <v>187967.86</v>
      </c>
      <c r="R26" s="224">
        <f>금액!L34</f>
        <v>1951046.48</v>
      </c>
      <c r="S26" s="224">
        <f>금액!M34</f>
        <v>506087.28</v>
      </c>
      <c r="T26" s="224">
        <f>금액!N34</f>
        <v>646481.04000000015</v>
      </c>
      <c r="U26" s="225">
        <f>금액!O34</f>
        <v>0</v>
      </c>
      <c r="V26" s="224">
        <f>금액!P34</f>
        <v>0</v>
      </c>
      <c r="W26" s="224">
        <f>금액!Q34</f>
        <v>0</v>
      </c>
      <c r="X26" s="224">
        <f>금액!R34</f>
        <v>0</v>
      </c>
      <c r="Y26" s="224">
        <f>금액!S34</f>
        <v>0</v>
      </c>
      <c r="Z26" s="224">
        <f>금액!T34</f>
        <v>8709.1200000000008</v>
      </c>
      <c r="AA26" s="225">
        <f>금액!U34</f>
        <v>31711.68</v>
      </c>
      <c r="AB26" s="228">
        <f>금액!V34</f>
        <v>0</v>
      </c>
      <c r="AC26" s="228">
        <f>금액!W34</f>
        <v>0</v>
      </c>
      <c r="AD26" s="228">
        <f>금액!X34</f>
        <v>0</v>
      </c>
      <c r="AE26" s="228">
        <f>금액!Y34</f>
        <v>0</v>
      </c>
      <c r="AF26" s="7"/>
    </row>
    <row r="27" spans="1:32" ht="12.75">
      <c r="A27" s="178"/>
      <c r="B27" s="178"/>
      <c r="C27" s="178"/>
      <c r="D27" s="178"/>
      <c r="E27" s="178"/>
      <c r="F27" s="178"/>
      <c r="G27" s="178"/>
      <c r="H27" s="870"/>
      <c r="I27" s="889" t="s">
        <v>40</v>
      </c>
      <c r="J27" s="860"/>
      <c r="K27" s="224">
        <f t="shared" ref="K27:AE27" si="7">K26*$H$4</f>
        <v>1979390910</v>
      </c>
      <c r="L27" s="224">
        <f t="shared" si="7"/>
        <v>2245836600</v>
      </c>
      <c r="M27" s="224">
        <f t="shared" si="7"/>
        <v>2849249410</v>
      </c>
      <c r="N27" s="224">
        <f t="shared" si="7"/>
        <v>5310213160</v>
      </c>
      <c r="O27" s="224">
        <f t="shared" si="7"/>
        <v>2671499495</v>
      </c>
      <c r="P27" s="224">
        <f t="shared" si="7"/>
        <v>1447632760.0000002</v>
      </c>
      <c r="Q27" s="224">
        <f t="shared" si="7"/>
        <v>328943755</v>
      </c>
      <c r="R27" s="224">
        <f t="shared" si="7"/>
        <v>3414331340</v>
      </c>
      <c r="S27" s="224">
        <f t="shared" si="7"/>
        <v>885652740</v>
      </c>
      <c r="T27" s="224">
        <f t="shared" si="7"/>
        <v>1131341820.0000002</v>
      </c>
      <c r="U27" s="232">
        <f t="shared" si="7"/>
        <v>0</v>
      </c>
      <c r="V27" s="224">
        <f t="shared" si="7"/>
        <v>0</v>
      </c>
      <c r="W27" s="224">
        <f t="shared" si="7"/>
        <v>0</v>
      </c>
      <c r="X27" s="224">
        <f t="shared" si="7"/>
        <v>0</v>
      </c>
      <c r="Y27" s="224">
        <f t="shared" si="7"/>
        <v>0</v>
      </c>
      <c r="Z27" s="224">
        <f t="shared" si="7"/>
        <v>15240960.000000002</v>
      </c>
      <c r="AA27" s="232">
        <f t="shared" si="7"/>
        <v>55495440</v>
      </c>
      <c r="AB27" s="228">
        <f t="shared" si="7"/>
        <v>0</v>
      </c>
      <c r="AC27" s="228">
        <f t="shared" si="7"/>
        <v>0</v>
      </c>
      <c r="AD27" s="228">
        <f t="shared" si="7"/>
        <v>0</v>
      </c>
      <c r="AE27" s="228">
        <f t="shared" si="7"/>
        <v>0</v>
      </c>
      <c r="AF27" s="7"/>
    </row>
    <row r="28" spans="1:32" ht="12.75">
      <c r="A28" s="178"/>
      <c r="B28" s="178"/>
      <c r="C28" s="178"/>
      <c r="D28" s="178"/>
      <c r="E28" s="178"/>
      <c r="F28" s="178"/>
      <c r="G28" s="178"/>
      <c r="H28" s="235"/>
      <c r="I28" s="236"/>
      <c r="J28" s="236"/>
      <c r="AF28" s="7"/>
    </row>
    <row r="29" spans="1:32" ht="12.75">
      <c r="B29" s="178"/>
      <c r="C29" s="178"/>
      <c r="D29" s="178"/>
      <c r="E29" s="178"/>
      <c r="F29" s="178"/>
      <c r="G29" s="178"/>
      <c r="H29" s="235"/>
      <c r="I29" s="236"/>
      <c r="J29" s="236"/>
      <c r="K29" s="237" t="s">
        <v>41</v>
      </c>
      <c r="L29" s="237" t="s">
        <v>41</v>
      </c>
      <c r="M29" s="237" t="s">
        <v>41</v>
      </c>
      <c r="N29" s="76" t="s">
        <v>41</v>
      </c>
      <c r="O29" s="76" t="s">
        <v>41</v>
      </c>
      <c r="P29" s="76" t="s">
        <v>41</v>
      </c>
      <c r="Q29" s="76" t="s">
        <v>41</v>
      </c>
      <c r="R29" s="76" t="s">
        <v>41</v>
      </c>
      <c r="S29" s="76" t="s">
        <v>41</v>
      </c>
      <c r="T29" s="292" t="s">
        <v>42</v>
      </c>
      <c r="U29" s="77" t="s">
        <v>42</v>
      </c>
      <c r="V29" s="77" t="s">
        <v>42</v>
      </c>
      <c r="W29" s="77" t="s">
        <v>42</v>
      </c>
      <c r="X29" s="77" t="s">
        <v>42</v>
      </c>
      <c r="Y29" s="77" t="s">
        <v>42</v>
      </c>
      <c r="Z29" s="77" t="s">
        <v>42</v>
      </c>
      <c r="AA29" s="77" t="s">
        <v>42</v>
      </c>
      <c r="AB29" s="77" t="s">
        <v>42</v>
      </c>
      <c r="AC29" s="77" t="s">
        <v>42</v>
      </c>
      <c r="AD29" s="77" t="s">
        <v>42</v>
      </c>
      <c r="AE29" s="77" t="s">
        <v>42</v>
      </c>
      <c r="AF29" s="7"/>
    </row>
    <row r="30" spans="1:32" ht="12.75" outlineLevel="1">
      <c r="B30" s="178"/>
      <c r="C30" s="178"/>
      <c r="D30" s="178"/>
      <c r="E30" s="178"/>
      <c r="F30" s="178"/>
      <c r="G30" s="178"/>
      <c r="H30" s="890" t="s">
        <v>43</v>
      </c>
      <c r="I30" s="879"/>
      <c r="J30" s="860"/>
      <c r="K30" s="103" t="s">
        <v>14</v>
      </c>
      <c r="L30" s="103" t="s">
        <v>15</v>
      </c>
      <c r="M30" s="103" t="s">
        <v>16</v>
      </c>
      <c r="N30" s="238" t="s">
        <v>17</v>
      </c>
      <c r="O30" s="103" t="s">
        <v>18</v>
      </c>
      <c r="P30" s="103" t="s">
        <v>19</v>
      </c>
      <c r="Q30" s="103" t="s">
        <v>20</v>
      </c>
      <c r="R30" s="103" t="s">
        <v>21</v>
      </c>
      <c r="S30" s="103" t="s">
        <v>22</v>
      </c>
      <c r="T30" s="103" t="s">
        <v>23</v>
      </c>
      <c r="U30" s="239" t="s">
        <v>107</v>
      </c>
      <c r="V30" s="103" t="s">
        <v>25</v>
      </c>
      <c r="W30" s="103" t="s">
        <v>26</v>
      </c>
      <c r="X30" s="103" t="s">
        <v>15</v>
      </c>
      <c r="Y30" s="103" t="s">
        <v>16</v>
      </c>
      <c r="Z30" s="103" t="s">
        <v>17</v>
      </c>
      <c r="AA30" s="239" t="s">
        <v>18</v>
      </c>
      <c r="AB30" s="240" t="s">
        <v>19</v>
      </c>
      <c r="AC30" s="240" t="s">
        <v>20</v>
      </c>
      <c r="AD30" s="240" t="s">
        <v>21</v>
      </c>
      <c r="AE30" s="240" t="s">
        <v>22</v>
      </c>
      <c r="AF30" s="7"/>
    </row>
    <row r="31" spans="1:32" ht="12.75" outlineLevel="1">
      <c r="B31" s="178"/>
      <c r="C31" s="178"/>
      <c r="D31" s="178"/>
      <c r="E31" s="178"/>
      <c r="F31" s="178"/>
      <c r="G31" s="178"/>
      <c r="H31" s="910" t="s">
        <v>44</v>
      </c>
      <c r="I31" s="891" t="s">
        <v>27</v>
      </c>
      <c r="J31" s="190" t="s">
        <v>110</v>
      </c>
      <c r="K31" s="116">
        <v>710</v>
      </c>
      <c r="L31" s="116">
        <v>487</v>
      </c>
      <c r="M31" s="116">
        <v>633</v>
      </c>
      <c r="N31" s="116">
        <v>710</v>
      </c>
      <c r="O31" s="116">
        <v>557</v>
      </c>
      <c r="P31" s="116">
        <v>197</v>
      </c>
      <c r="Q31" s="116">
        <v>158</v>
      </c>
      <c r="R31" s="116">
        <v>126</v>
      </c>
      <c r="S31" s="116">
        <v>84</v>
      </c>
      <c r="T31" s="116">
        <v>141</v>
      </c>
      <c r="U31" s="127">
        <v>154</v>
      </c>
      <c r="V31" s="116">
        <v>149</v>
      </c>
      <c r="W31" s="116">
        <v>157</v>
      </c>
      <c r="X31" s="116">
        <v>169</v>
      </c>
      <c r="Y31" s="116">
        <v>196</v>
      </c>
      <c r="Z31" s="116">
        <v>224</v>
      </c>
      <c r="AA31" s="127">
        <v>250</v>
      </c>
      <c r="AB31" s="213">
        <v>273</v>
      </c>
      <c r="AC31" s="213">
        <v>289</v>
      </c>
      <c r="AD31" s="213"/>
      <c r="AE31" s="213"/>
      <c r="AF31" s="7"/>
    </row>
    <row r="32" spans="1:32" ht="12.75" outlineLevel="1">
      <c r="B32" s="178"/>
      <c r="C32" s="178"/>
      <c r="D32" s="178"/>
      <c r="E32" s="178"/>
      <c r="F32" s="178"/>
      <c r="G32" s="178"/>
      <c r="H32" s="865"/>
      <c r="I32" s="865"/>
      <c r="J32" s="190">
        <v>1</v>
      </c>
      <c r="K32" s="116">
        <v>2121</v>
      </c>
      <c r="L32" s="116">
        <v>1299</v>
      </c>
      <c r="M32" s="116">
        <v>886</v>
      </c>
      <c r="N32" s="116">
        <v>1736</v>
      </c>
      <c r="O32" s="116">
        <v>1721</v>
      </c>
      <c r="P32" s="116">
        <v>686</v>
      </c>
      <c r="Q32" s="116">
        <v>674</v>
      </c>
      <c r="R32" s="116">
        <v>813</v>
      </c>
      <c r="S32" s="116">
        <v>747</v>
      </c>
      <c r="T32" s="116">
        <v>776</v>
      </c>
      <c r="U32" s="127">
        <v>799</v>
      </c>
      <c r="V32" s="116">
        <v>807</v>
      </c>
      <c r="W32" s="116">
        <v>823</v>
      </c>
      <c r="X32" s="116">
        <v>848</v>
      </c>
      <c r="Y32" s="116">
        <v>899</v>
      </c>
      <c r="Z32" s="116">
        <v>944</v>
      </c>
      <c r="AA32" s="127">
        <v>982</v>
      </c>
      <c r="AB32" s="213">
        <v>1011</v>
      </c>
      <c r="AC32" s="213">
        <v>1031</v>
      </c>
      <c r="AD32" s="213"/>
      <c r="AE32" s="213"/>
      <c r="AF32" s="7"/>
    </row>
    <row r="33" spans="2:32" ht="12.75" outlineLevel="1">
      <c r="B33" s="178"/>
      <c r="C33" s="178"/>
      <c r="D33" s="178"/>
      <c r="E33" s="178"/>
      <c r="F33" s="178"/>
      <c r="G33" s="178"/>
      <c r="H33" s="865"/>
      <c r="I33" s="865"/>
      <c r="J33" s="190" t="s">
        <v>119</v>
      </c>
      <c r="K33" s="116">
        <v>2606</v>
      </c>
      <c r="L33" s="116">
        <v>2088</v>
      </c>
      <c r="M33" s="116">
        <v>1780</v>
      </c>
      <c r="N33" s="116">
        <v>1748</v>
      </c>
      <c r="O33" s="116">
        <v>1404</v>
      </c>
      <c r="P33" s="116">
        <v>160</v>
      </c>
      <c r="Q33" s="116">
        <v>0.1</v>
      </c>
      <c r="R33" s="116">
        <v>100</v>
      </c>
      <c r="S33" s="116">
        <v>297</v>
      </c>
      <c r="T33" s="116">
        <v>272</v>
      </c>
      <c r="U33" s="127">
        <v>335</v>
      </c>
      <c r="V33" s="116">
        <v>385</v>
      </c>
      <c r="W33" s="116">
        <v>596</v>
      </c>
      <c r="X33" s="116">
        <v>722</v>
      </c>
      <c r="Y33" s="116">
        <v>772</v>
      </c>
      <c r="Z33" s="116">
        <v>795</v>
      </c>
      <c r="AA33" s="127">
        <v>732</v>
      </c>
      <c r="AB33" s="213">
        <v>746</v>
      </c>
      <c r="AC33" s="213">
        <v>903</v>
      </c>
      <c r="AD33" s="213"/>
      <c r="AE33" s="213"/>
      <c r="AF33" s="7"/>
    </row>
    <row r="34" spans="2:32" ht="12.75" outlineLevel="1">
      <c r="B34" s="178"/>
      <c r="C34" s="178"/>
      <c r="D34" s="178"/>
      <c r="E34" s="178"/>
      <c r="F34" s="178"/>
      <c r="G34" s="178"/>
      <c r="H34" s="865"/>
      <c r="I34" s="865"/>
      <c r="J34" s="190">
        <v>2</v>
      </c>
      <c r="K34" s="116">
        <v>1440</v>
      </c>
      <c r="L34" s="116">
        <v>1250</v>
      </c>
      <c r="M34" s="116">
        <v>1781</v>
      </c>
      <c r="N34" s="116">
        <v>1637</v>
      </c>
      <c r="O34" s="116">
        <v>1868</v>
      </c>
      <c r="P34" s="116">
        <v>851</v>
      </c>
      <c r="Q34" s="116">
        <v>1019</v>
      </c>
      <c r="R34" s="116">
        <v>1413</v>
      </c>
      <c r="S34" s="116">
        <v>1345</v>
      </c>
      <c r="T34" s="116">
        <v>1098</v>
      </c>
      <c r="U34" s="127">
        <v>1131</v>
      </c>
      <c r="V34" s="116">
        <v>1154</v>
      </c>
      <c r="W34" s="116">
        <v>1177</v>
      </c>
      <c r="X34" s="116">
        <v>1247</v>
      </c>
      <c r="Y34" s="116">
        <v>1297</v>
      </c>
      <c r="Z34" s="116">
        <v>1336</v>
      </c>
      <c r="AA34" s="127">
        <v>1323</v>
      </c>
      <c r="AB34" s="213">
        <v>1283</v>
      </c>
      <c r="AC34" s="213">
        <v>1475</v>
      </c>
      <c r="AD34" s="213"/>
      <c r="AE34" s="213"/>
      <c r="AF34" s="7"/>
    </row>
    <row r="35" spans="2:32" ht="12.75" outlineLevel="1">
      <c r="B35" s="178"/>
      <c r="C35" s="178"/>
      <c r="D35" s="178"/>
      <c r="E35" s="178"/>
      <c r="F35" s="178"/>
      <c r="G35" s="178"/>
      <c r="H35" s="865"/>
      <c r="I35" s="865"/>
      <c r="J35" s="190" t="s">
        <v>124</v>
      </c>
      <c r="K35" s="116">
        <v>2581</v>
      </c>
      <c r="L35" s="116">
        <v>2257</v>
      </c>
      <c r="M35" s="116">
        <v>1933</v>
      </c>
      <c r="N35" s="116">
        <v>2237</v>
      </c>
      <c r="O35" s="116">
        <v>1848</v>
      </c>
      <c r="P35" s="116">
        <v>808</v>
      </c>
      <c r="Q35" s="116">
        <v>694</v>
      </c>
      <c r="R35" s="116">
        <v>636</v>
      </c>
      <c r="S35" s="116">
        <v>592</v>
      </c>
      <c r="T35" s="116">
        <v>576</v>
      </c>
      <c r="U35" s="127">
        <v>616</v>
      </c>
      <c r="V35" s="116">
        <v>653</v>
      </c>
      <c r="W35" s="116">
        <v>1045</v>
      </c>
      <c r="X35" s="116">
        <v>1369</v>
      </c>
      <c r="Y35" s="116">
        <v>1547</v>
      </c>
      <c r="Z35" s="116">
        <v>1594</v>
      </c>
      <c r="AA35" s="127">
        <v>1466</v>
      </c>
      <c r="AB35" s="213">
        <v>1437</v>
      </c>
      <c r="AC35" s="213">
        <v>1624</v>
      </c>
      <c r="AD35" s="213"/>
      <c r="AE35" s="213"/>
      <c r="AF35" s="7"/>
    </row>
    <row r="36" spans="2:32" ht="12.75" outlineLevel="1">
      <c r="B36" s="178"/>
      <c r="C36" s="178"/>
      <c r="D36" s="178"/>
      <c r="E36" s="178"/>
      <c r="F36" s="178"/>
      <c r="G36" s="178"/>
      <c r="H36" s="865"/>
      <c r="I36" s="866"/>
      <c r="J36" s="190">
        <v>3</v>
      </c>
      <c r="K36" s="116">
        <v>669</v>
      </c>
      <c r="L36" s="116">
        <v>29</v>
      </c>
      <c r="M36" s="116">
        <v>431</v>
      </c>
      <c r="N36" s="116">
        <v>602</v>
      </c>
      <c r="O36" s="116">
        <v>559</v>
      </c>
      <c r="P36" s="116">
        <v>85</v>
      </c>
      <c r="Q36" s="116">
        <v>297</v>
      </c>
      <c r="R36" s="116">
        <v>240</v>
      </c>
      <c r="S36" s="116">
        <v>225</v>
      </c>
      <c r="T36" s="116">
        <v>223</v>
      </c>
      <c r="U36" s="127">
        <v>230</v>
      </c>
      <c r="V36" s="116">
        <v>234</v>
      </c>
      <c r="W36" s="116">
        <v>239</v>
      </c>
      <c r="X36" s="116">
        <v>246</v>
      </c>
      <c r="Y36" s="116">
        <v>258</v>
      </c>
      <c r="Z36" s="116">
        <v>269</v>
      </c>
      <c r="AA36" s="127">
        <v>282</v>
      </c>
      <c r="AB36" s="213">
        <v>299</v>
      </c>
      <c r="AC36" s="213">
        <v>308</v>
      </c>
      <c r="AD36" s="213"/>
      <c r="AE36" s="213"/>
      <c r="AF36" s="7"/>
    </row>
    <row r="37" spans="2:32" ht="12.75" outlineLevel="1">
      <c r="B37" s="178"/>
      <c r="C37" s="178"/>
      <c r="D37" s="178"/>
      <c r="E37" s="178"/>
      <c r="F37" s="178"/>
      <c r="G37" s="178"/>
      <c r="H37" s="865"/>
      <c r="I37" s="892" t="s">
        <v>32</v>
      </c>
      <c r="J37" s="205" t="s">
        <v>110</v>
      </c>
      <c r="K37" s="116">
        <v>9688</v>
      </c>
      <c r="L37" s="116">
        <v>8381</v>
      </c>
      <c r="M37" s="116">
        <v>10566</v>
      </c>
      <c r="N37" s="116">
        <v>12615</v>
      </c>
      <c r="O37" s="116">
        <v>11494</v>
      </c>
      <c r="P37" s="116">
        <v>4054</v>
      </c>
      <c r="Q37" s="116">
        <v>2492</v>
      </c>
      <c r="R37" s="116">
        <v>2360</v>
      </c>
      <c r="S37" s="116">
        <v>2541</v>
      </c>
      <c r="T37" s="117">
        <v>2642</v>
      </c>
      <c r="U37" s="127">
        <v>2880</v>
      </c>
      <c r="V37" s="117">
        <v>2966</v>
      </c>
      <c r="W37" s="117">
        <v>3085</v>
      </c>
      <c r="X37" s="117">
        <v>3270</v>
      </c>
      <c r="Y37" s="117">
        <v>3532</v>
      </c>
      <c r="Z37" s="117">
        <v>3673</v>
      </c>
      <c r="AA37" s="127">
        <v>3783</v>
      </c>
      <c r="AB37" s="213">
        <v>3896</v>
      </c>
      <c r="AC37" s="213">
        <v>3974</v>
      </c>
      <c r="AD37" s="213"/>
      <c r="AE37" s="213"/>
      <c r="AF37" s="7"/>
    </row>
    <row r="38" spans="2:32" ht="12.75" outlineLevel="1">
      <c r="B38" s="178"/>
      <c r="C38" s="178"/>
      <c r="D38" s="178"/>
      <c r="E38" s="178"/>
      <c r="F38" s="178"/>
      <c r="G38" s="178"/>
      <c r="H38" s="865"/>
      <c r="I38" s="865"/>
      <c r="J38" s="205">
        <v>1</v>
      </c>
      <c r="K38" s="116">
        <v>17360</v>
      </c>
      <c r="L38" s="116">
        <v>15775</v>
      </c>
      <c r="M38" s="116">
        <v>22182</v>
      </c>
      <c r="N38" s="116">
        <v>26587</v>
      </c>
      <c r="O38" s="116">
        <v>22168</v>
      </c>
      <c r="P38" s="116">
        <v>7554</v>
      </c>
      <c r="Q38" s="116">
        <v>4912</v>
      </c>
      <c r="R38" s="116">
        <v>4861</v>
      </c>
      <c r="S38" s="116">
        <v>5004</v>
      </c>
      <c r="T38" s="117">
        <v>4924</v>
      </c>
      <c r="U38" s="127">
        <v>5121</v>
      </c>
      <c r="V38" s="117">
        <v>5275</v>
      </c>
      <c r="W38" s="117">
        <v>5380</v>
      </c>
      <c r="X38" s="117">
        <v>5488</v>
      </c>
      <c r="Y38" s="117">
        <v>5707</v>
      </c>
      <c r="Z38" s="117">
        <v>5935</v>
      </c>
      <c r="AA38" s="127">
        <v>6054</v>
      </c>
      <c r="AB38" s="213">
        <v>6236</v>
      </c>
      <c r="AC38" s="213">
        <v>6423</v>
      </c>
      <c r="AD38" s="213"/>
      <c r="AE38" s="213"/>
      <c r="AF38" s="7"/>
    </row>
    <row r="39" spans="2:32" ht="12.75" outlineLevel="1">
      <c r="B39" s="178"/>
      <c r="C39" s="178"/>
      <c r="D39" s="178"/>
      <c r="E39" s="178"/>
      <c r="F39" s="178"/>
      <c r="G39" s="178"/>
      <c r="H39" s="865"/>
      <c r="I39" s="865"/>
      <c r="J39" s="205">
        <v>2</v>
      </c>
      <c r="K39" s="116">
        <v>18026</v>
      </c>
      <c r="L39" s="116">
        <v>15580</v>
      </c>
      <c r="M39" s="116">
        <v>23220</v>
      </c>
      <c r="N39" s="116">
        <v>27630</v>
      </c>
      <c r="O39" s="116">
        <v>21263</v>
      </c>
      <c r="P39" s="116">
        <v>8519</v>
      </c>
      <c r="Q39" s="116">
        <v>7444</v>
      </c>
      <c r="R39" s="116">
        <v>7150</v>
      </c>
      <c r="S39" s="116">
        <v>8966</v>
      </c>
      <c r="T39" s="116">
        <v>8703</v>
      </c>
      <c r="U39" s="127">
        <v>9399</v>
      </c>
      <c r="V39" s="116">
        <v>9869</v>
      </c>
      <c r="W39" s="116">
        <v>10363</v>
      </c>
      <c r="X39" s="116">
        <v>10777</v>
      </c>
      <c r="Y39" s="116">
        <v>11424</v>
      </c>
      <c r="Z39" s="116">
        <v>11881</v>
      </c>
      <c r="AA39" s="127">
        <v>12237</v>
      </c>
      <c r="AB39" s="213">
        <v>12482</v>
      </c>
      <c r="AC39" s="213">
        <v>12856</v>
      </c>
      <c r="AD39" s="213"/>
      <c r="AE39" s="213"/>
      <c r="AF39" s="7"/>
    </row>
    <row r="40" spans="2:32" ht="12.75" outlineLevel="1">
      <c r="B40" s="178"/>
      <c r="C40" s="178"/>
      <c r="D40" s="178"/>
      <c r="E40" s="178"/>
      <c r="F40" s="178"/>
      <c r="G40" s="178"/>
      <c r="H40" s="865"/>
      <c r="I40" s="866"/>
      <c r="J40" s="205" t="s">
        <v>131</v>
      </c>
      <c r="K40" s="116">
        <v>2195</v>
      </c>
      <c r="L40" s="116">
        <v>2236</v>
      </c>
      <c r="M40" s="116">
        <v>2623</v>
      </c>
      <c r="N40" s="116">
        <v>2997</v>
      </c>
      <c r="O40" s="116">
        <v>2547</v>
      </c>
      <c r="P40" s="116">
        <v>1354</v>
      </c>
      <c r="Q40" s="116">
        <v>1298</v>
      </c>
      <c r="R40" s="116">
        <v>1236</v>
      </c>
      <c r="S40" s="116">
        <v>1438</v>
      </c>
      <c r="T40" s="116">
        <v>1530</v>
      </c>
      <c r="U40" s="127">
        <v>1576</v>
      </c>
      <c r="V40" s="116">
        <v>1607</v>
      </c>
      <c r="W40" s="116">
        <v>1640</v>
      </c>
      <c r="X40" s="116">
        <v>1672</v>
      </c>
      <c r="Y40" s="116">
        <v>1789</v>
      </c>
      <c r="Z40" s="116">
        <v>1933</v>
      </c>
      <c r="AA40" s="127">
        <v>1991</v>
      </c>
      <c r="AB40" s="213">
        <v>2050</v>
      </c>
      <c r="AC40" s="213">
        <v>2112</v>
      </c>
      <c r="AD40" s="213"/>
      <c r="AE40" s="213"/>
      <c r="AF40" s="7"/>
    </row>
    <row r="41" spans="2:32" ht="12.75" outlineLevel="1">
      <c r="B41" s="178"/>
      <c r="C41" s="178"/>
      <c r="D41" s="178"/>
      <c r="E41" s="178"/>
      <c r="F41" s="178"/>
      <c r="G41" s="178"/>
      <c r="H41" s="865"/>
      <c r="I41" s="893" t="s">
        <v>132</v>
      </c>
      <c r="J41" s="210" t="s">
        <v>133</v>
      </c>
      <c r="K41" s="116">
        <v>332</v>
      </c>
      <c r="L41" s="116">
        <v>552</v>
      </c>
      <c r="M41" s="116">
        <v>506</v>
      </c>
      <c r="N41" s="116">
        <v>556</v>
      </c>
      <c r="O41" s="116">
        <v>746</v>
      </c>
      <c r="P41" s="116">
        <v>354</v>
      </c>
      <c r="Q41" s="116">
        <v>236</v>
      </c>
      <c r="R41" s="116">
        <v>232</v>
      </c>
      <c r="S41" s="116">
        <v>218</v>
      </c>
      <c r="T41" s="116">
        <v>183</v>
      </c>
      <c r="U41" s="127">
        <v>187</v>
      </c>
      <c r="V41" s="116">
        <v>192</v>
      </c>
      <c r="W41" s="116">
        <v>198</v>
      </c>
      <c r="X41" s="116">
        <v>202</v>
      </c>
      <c r="Y41" s="116">
        <v>208</v>
      </c>
      <c r="Z41" s="116">
        <v>212</v>
      </c>
      <c r="AA41" s="127">
        <v>216</v>
      </c>
      <c r="AB41" s="213">
        <v>221</v>
      </c>
      <c r="AC41" s="213">
        <v>225</v>
      </c>
      <c r="AD41" s="213"/>
      <c r="AE41" s="213"/>
      <c r="AF41" s="7"/>
    </row>
    <row r="42" spans="2:32" ht="12.75" outlineLevel="1">
      <c r="B42" s="178"/>
      <c r="C42" s="178"/>
      <c r="D42" s="178"/>
      <c r="E42" s="178"/>
      <c r="F42" s="178"/>
      <c r="G42" s="178"/>
      <c r="H42" s="865"/>
      <c r="I42" s="866"/>
      <c r="J42" s="210" t="s">
        <v>134</v>
      </c>
      <c r="K42" s="116">
        <v>174</v>
      </c>
      <c r="L42" s="116">
        <v>126</v>
      </c>
      <c r="M42" s="116">
        <v>122</v>
      </c>
      <c r="N42" s="116">
        <v>202</v>
      </c>
      <c r="O42" s="116">
        <v>216</v>
      </c>
      <c r="P42" s="116">
        <v>232</v>
      </c>
      <c r="Q42" s="116">
        <v>110</v>
      </c>
      <c r="R42" s="214">
        <v>196</v>
      </c>
      <c r="S42" s="214">
        <v>202</v>
      </c>
      <c r="T42" s="116">
        <v>214</v>
      </c>
      <c r="U42" s="127">
        <v>225</v>
      </c>
      <c r="V42" s="116">
        <v>231</v>
      </c>
      <c r="W42" s="116">
        <v>236</v>
      </c>
      <c r="X42" s="116">
        <v>241</v>
      </c>
      <c r="Y42" s="116">
        <v>246</v>
      </c>
      <c r="Z42" s="116">
        <v>251</v>
      </c>
      <c r="AA42" s="127">
        <v>256</v>
      </c>
      <c r="AB42" s="213">
        <v>261</v>
      </c>
      <c r="AC42" s="213">
        <v>268</v>
      </c>
      <c r="AD42" s="213"/>
      <c r="AE42" s="213"/>
      <c r="AF42" s="7"/>
    </row>
    <row r="43" spans="2:32" ht="12.75" outlineLevel="1">
      <c r="B43" s="178"/>
      <c r="C43" s="178"/>
      <c r="D43" s="178"/>
      <c r="E43" s="178"/>
      <c r="F43" s="178"/>
      <c r="G43" s="178"/>
      <c r="H43" s="865"/>
      <c r="I43" s="895" t="s">
        <v>135</v>
      </c>
      <c r="J43" s="217" t="s">
        <v>136</v>
      </c>
      <c r="K43" s="218">
        <v>0</v>
      </c>
      <c r="L43" s="218">
        <v>0</v>
      </c>
      <c r="M43" s="218">
        <v>0</v>
      </c>
      <c r="N43" s="218">
        <v>0</v>
      </c>
      <c r="O43" s="218">
        <v>536</v>
      </c>
      <c r="P43" s="218">
        <v>560</v>
      </c>
      <c r="Q43" s="218">
        <v>312</v>
      </c>
      <c r="R43" s="218">
        <v>348</v>
      </c>
      <c r="S43" s="218">
        <v>428</v>
      </c>
      <c r="T43" s="218">
        <v>1037</v>
      </c>
      <c r="U43" s="241">
        <v>1006</v>
      </c>
      <c r="V43" s="218">
        <v>1016</v>
      </c>
      <c r="W43" s="218">
        <v>1046</v>
      </c>
      <c r="X43" s="218">
        <v>1057</v>
      </c>
      <c r="Y43" s="218">
        <v>1067</v>
      </c>
      <c r="Z43" s="218">
        <v>1078</v>
      </c>
      <c r="AA43" s="241">
        <v>1100</v>
      </c>
      <c r="AB43" s="242">
        <v>1122</v>
      </c>
      <c r="AC43" s="242">
        <v>1144</v>
      </c>
      <c r="AD43" s="242"/>
      <c r="AE43" s="242"/>
      <c r="AF43" s="7"/>
    </row>
    <row r="44" spans="2:32" ht="12.75" outlineLevel="1">
      <c r="B44" s="178"/>
      <c r="C44" s="178"/>
      <c r="D44" s="178"/>
      <c r="E44" s="178"/>
      <c r="F44" s="178"/>
      <c r="G44" s="178"/>
      <c r="H44" s="865"/>
      <c r="I44" s="865"/>
      <c r="J44" s="217" t="s">
        <v>137</v>
      </c>
      <c r="K44" s="218">
        <v>0</v>
      </c>
      <c r="L44" s="218">
        <v>0</v>
      </c>
      <c r="M44" s="218">
        <v>0</v>
      </c>
      <c r="N44" s="218">
        <v>0</v>
      </c>
      <c r="O44" s="218">
        <v>520</v>
      </c>
      <c r="P44" s="218">
        <v>464</v>
      </c>
      <c r="Q44" s="218">
        <v>264</v>
      </c>
      <c r="R44" s="218">
        <v>356</v>
      </c>
      <c r="S44" s="218">
        <v>460</v>
      </c>
      <c r="T44" s="218">
        <v>1108</v>
      </c>
      <c r="U44" s="241">
        <v>1064</v>
      </c>
      <c r="V44" s="218">
        <v>1096</v>
      </c>
      <c r="W44" s="218">
        <v>1128</v>
      </c>
      <c r="X44" s="218">
        <v>1151</v>
      </c>
      <c r="Y44" s="218">
        <v>1163</v>
      </c>
      <c r="Z44" s="218">
        <v>1174</v>
      </c>
      <c r="AA44" s="241">
        <v>1209</v>
      </c>
      <c r="AB44" s="242">
        <v>1234</v>
      </c>
      <c r="AC44" s="242">
        <v>1258</v>
      </c>
      <c r="AD44" s="242"/>
      <c r="AE44" s="242"/>
      <c r="AF44" s="7"/>
    </row>
    <row r="45" spans="2:32" ht="12.75" outlineLevel="1">
      <c r="B45" s="178"/>
      <c r="C45" s="178"/>
      <c r="D45" s="178"/>
      <c r="E45" s="178"/>
      <c r="F45" s="178"/>
      <c r="G45" s="178"/>
      <c r="H45" s="865"/>
      <c r="I45" s="865"/>
      <c r="J45" s="293" t="s">
        <v>138</v>
      </c>
      <c r="K45" s="218">
        <v>0</v>
      </c>
      <c r="L45" s="218">
        <v>0</v>
      </c>
      <c r="M45" s="218">
        <v>0</v>
      </c>
      <c r="N45" s="218">
        <v>0</v>
      </c>
      <c r="O45" s="218">
        <v>784</v>
      </c>
      <c r="P45" s="218">
        <v>472</v>
      </c>
      <c r="Q45" s="218">
        <v>328</v>
      </c>
      <c r="R45" s="218">
        <v>284</v>
      </c>
      <c r="S45" s="218">
        <v>276</v>
      </c>
      <c r="T45" s="218">
        <v>300</v>
      </c>
      <c r="U45" s="241">
        <v>1237</v>
      </c>
      <c r="V45" s="218">
        <v>1262</v>
      </c>
      <c r="W45" s="218">
        <v>1287</v>
      </c>
      <c r="X45" s="218">
        <v>1313</v>
      </c>
      <c r="Y45" s="218">
        <v>1326</v>
      </c>
      <c r="Z45" s="218">
        <v>1339</v>
      </c>
      <c r="AA45" s="241">
        <v>1379</v>
      </c>
      <c r="AB45" s="242">
        <v>1407</v>
      </c>
      <c r="AC45" s="242">
        <v>1435</v>
      </c>
      <c r="AD45" s="242"/>
      <c r="AE45" s="242"/>
      <c r="AF45" s="7"/>
    </row>
    <row r="46" spans="2:32" ht="12.75" outlineLevel="1">
      <c r="B46" s="178"/>
      <c r="C46" s="178"/>
      <c r="D46" s="178"/>
      <c r="E46" s="178"/>
      <c r="F46" s="178"/>
      <c r="G46" s="178"/>
      <c r="H46" s="865"/>
      <c r="I46" s="866"/>
      <c r="J46" s="217" t="s">
        <v>139</v>
      </c>
      <c r="K46" s="218">
        <v>0</v>
      </c>
      <c r="L46" s="218">
        <v>0</v>
      </c>
      <c r="M46" s="218">
        <v>0</v>
      </c>
      <c r="N46" s="218">
        <v>0</v>
      </c>
      <c r="O46" s="218">
        <v>1048</v>
      </c>
      <c r="P46" s="218">
        <v>376</v>
      </c>
      <c r="Q46" s="218">
        <v>384</v>
      </c>
      <c r="R46" s="218">
        <v>212</v>
      </c>
      <c r="S46" s="218">
        <v>324</v>
      </c>
      <c r="T46" s="218">
        <v>926</v>
      </c>
      <c r="U46" s="241">
        <v>898</v>
      </c>
      <c r="V46" s="218">
        <v>880</v>
      </c>
      <c r="W46" s="218">
        <v>889</v>
      </c>
      <c r="X46" s="218">
        <v>898</v>
      </c>
      <c r="Y46" s="218">
        <v>907</v>
      </c>
      <c r="Z46" s="218">
        <v>916</v>
      </c>
      <c r="AA46" s="241">
        <v>934</v>
      </c>
      <c r="AB46" s="242">
        <v>953</v>
      </c>
      <c r="AC46" s="242">
        <v>972</v>
      </c>
      <c r="AD46" s="242"/>
      <c r="AE46" s="242"/>
      <c r="AF46" s="7"/>
    </row>
    <row r="47" spans="2:32" ht="12.75" outlineLevel="1">
      <c r="B47" s="178"/>
      <c r="C47" s="178"/>
      <c r="D47" s="178"/>
      <c r="E47" s="178"/>
      <c r="F47" s="178"/>
      <c r="G47" s="178"/>
      <c r="H47" s="866"/>
      <c r="I47" s="909" t="s">
        <v>38</v>
      </c>
      <c r="J47" s="860"/>
      <c r="K47" s="244">
        <f t="shared" ref="K47:AE47" si="8">SUM(K31:K42)</f>
        <v>57902</v>
      </c>
      <c r="L47" s="244">
        <f t="shared" si="8"/>
        <v>50060</v>
      </c>
      <c r="M47" s="244">
        <f t="shared" si="8"/>
        <v>66663</v>
      </c>
      <c r="N47" s="244">
        <f t="shared" si="8"/>
        <v>79257</v>
      </c>
      <c r="O47" s="244">
        <f t="shared" si="8"/>
        <v>66391</v>
      </c>
      <c r="P47" s="244">
        <f t="shared" si="8"/>
        <v>24854</v>
      </c>
      <c r="Q47" s="244">
        <f t="shared" si="8"/>
        <v>19334.099999999999</v>
      </c>
      <c r="R47" s="244">
        <f t="shared" si="8"/>
        <v>19363</v>
      </c>
      <c r="S47" s="244">
        <f t="shared" si="8"/>
        <v>21659</v>
      </c>
      <c r="T47" s="244">
        <f t="shared" si="8"/>
        <v>21282</v>
      </c>
      <c r="U47" s="245">
        <f t="shared" si="8"/>
        <v>22653</v>
      </c>
      <c r="V47" s="244">
        <f t="shared" si="8"/>
        <v>23522</v>
      </c>
      <c r="W47" s="244">
        <f t="shared" si="8"/>
        <v>24939</v>
      </c>
      <c r="X47" s="244">
        <f t="shared" si="8"/>
        <v>26251</v>
      </c>
      <c r="Y47" s="244">
        <f t="shared" si="8"/>
        <v>27875</v>
      </c>
      <c r="Z47" s="244">
        <f t="shared" si="8"/>
        <v>29047</v>
      </c>
      <c r="AA47" s="245">
        <f t="shared" si="8"/>
        <v>29572</v>
      </c>
      <c r="AB47" s="246">
        <f t="shared" si="8"/>
        <v>30195</v>
      </c>
      <c r="AC47" s="246">
        <f t="shared" si="8"/>
        <v>31488</v>
      </c>
      <c r="AD47" s="246">
        <f t="shared" si="8"/>
        <v>0</v>
      </c>
      <c r="AE47" s="246">
        <f t="shared" si="8"/>
        <v>0</v>
      </c>
      <c r="AF47" s="7"/>
    </row>
    <row r="48" spans="2:32" ht="12.75">
      <c r="B48" s="178"/>
      <c r="C48" s="178"/>
      <c r="D48" s="178"/>
      <c r="E48" s="178"/>
      <c r="F48" s="178"/>
      <c r="G48" s="178"/>
      <c r="H48" s="247"/>
      <c r="I48" s="248"/>
      <c r="J48" s="248"/>
      <c r="AF48" s="7"/>
    </row>
    <row r="49" spans="1:32" ht="12.75">
      <c r="A49" s="178"/>
      <c r="B49" s="178"/>
      <c r="C49" s="249"/>
      <c r="D49" s="178"/>
      <c r="E49" s="178"/>
      <c r="F49" s="178"/>
      <c r="G49" s="178"/>
      <c r="H49" s="247"/>
      <c r="I49" s="248"/>
      <c r="J49" s="248"/>
      <c r="AF49" s="7"/>
    </row>
    <row r="50" spans="1:32" ht="12.75">
      <c r="A50" s="107"/>
      <c r="B50" s="107"/>
      <c r="C50" s="108" t="s">
        <v>49</v>
      </c>
      <c r="D50" s="107" t="s">
        <v>50</v>
      </c>
      <c r="E50" s="107"/>
      <c r="F50" s="178"/>
      <c r="G50" s="178"/>
      <c r="H50" s="894" t="s">
        <v>51</v>
      </c>
      <c r="I50" s="879"/>
      <c r="J50" s="860"/>
      <c r="K50" s="250" t="s">
        <v>14</v>
      </c>
      <c r="L50" s="250" t="s">
        <v>15</v>
      </c>
      <c r="M50" s="250" t="s">
        <v>16</v>
      </c>
      <c r="N50" s="250" t="s">
        <v>17</v>
      </c>
      <c r="O50" s="250" t="s">
        <v>18</v>
      </c>
      <c r="P50" s="250" t="s">
        <v>19</v>
      </c>
      <c r="Q50" s="250" t="s">
        <v>20</v>
      </c>
      <c r="R50" s="250" t="s">
        <v>21</v>
      </c>
      <c r="S50" s="250" t="s">
        <v>22</v>
      </c>
      <c r="T50" s="250" t="s">
        <v>23</v>
      </c>
      <c r="U50" s="251" t="s">
        <v>107</v>
      </c>
      <c r="V50" s="250" t="s">
        <v>25</v>
      </c>
      <c r="W50" s="250" t="s">
        <v>26</v>
      </c>
      <c r="X50" s="250" t="s">
        <v>15</v>
      </c>
      <c r="Y50" s="250" t="s">
        <v>16</v>
      </c>
      <c r="Z50" s="250" t="s">
        <v>17</v>
      </c>
      <c r="AA50" s="251" t="s">
        <v>18</v>
      </c>
      <c r="AB50" s="253" t="s">
        <v>19</v>
      </c>
      <c r="AC50" s="253" t="s">
        <v>20</v>
      </c>
      <c r="AD50" s="253" t="s">
        <v>21</v>
      </c>
      <c r="AE50" s="253" t="s">
        <v>22</v>
      </c>
      <c r="AF50" s="7"/>
    </row>
    <row r="51" spans="1:32" ht="12.75">
      <c r="A51" s="900" t="s">
        <v>27</v>
      </c>
      <c r="B51" s="254" t="s">
        <v>110</v>
      </c>
      <c r="C51" s="255"/>
      <c r="D51" s="256">
        <f t="shared" ref="D51:D66" si="9">C51-(U31/31*9)</f>
        <v>-44.70967741935484</v>
      </c>
      <c r="E51" s="256"/>
      <c r="F51" s="178"/>
      <c r="G51" s="178"/>
      <c r="H51" s="911" t="s">
        <v>140</v>
      </c>
      <c r="I51" s="891" t="s">
        <v>27</v>
      </c>
      <c r="J51" s="190" t="s">
        <v>110</v>
      </c>
      <c r="K51" s="116">
        <v>4054</v>
      </c>
      <c r="L51" s="116">
        <v>3567</v>
      </c>
      <c r="M51" s="116">
        <v>3474</v>
      </c>
      <c r="N51" s="116">
        <v>3043</v>
      </c>
      <c r="O51" s="116">
        <f>3566-1757</f>
        <v>1809</v>
      </c>
      <c r="P51" s="116">
        <f>3905-1757</f>
        <v>2148</v>
      </c>
      <c r="Q51" s="116">
        <v>2260</v>
      </c>
      <c r="R51" s="116">
        <v>2120.4</v>
      </c>
      <c r="S51" s="116">
        <v>3664</v>
      </c>
      <c r="T51" s="116">
        <v>3517.4</v>
      </c>
      <c r="U51" s="212">
        <f t="shared" ref="U51:AE51" si="10">T51+U6-U31</f>
        <v>3363.4</v>
      </c>
      <c r="V51" s="116">
        <f t="shared" si="10"/>
        <v>3214.4</v>
      </c>
      <c r="W51" s="116">
        <f t="shared" si="10"/>
        <v>3057.4</v>
      </c>
      <c r="X51" s="116">
        <f t="shared" si="10"/>
        <v>2888.4</v>
      </c>
      <c r="Y51" s="116">
        <f t="shared" si="10"/>
        <v>2692.4</v>
      </c>
      <c r="Z51" s="116">
        <f t="shared" si="10"/>
        <v>2468.4</v>
      </c>
      <c r="AA51" s="212">
        <f t="shared" si="10"/>
        <v>2218.4</v>
      </c>
      <c r="AB51" s="116">
        <f t="shared" si="10"/>
        <v>1945.4</v>
      </c>
      <c r="AC51" s="116">
        <f t="shared" si="10"/>
        <v>1656.4</v>
      </c>
      <c r="AD51" s="116">
        <f t="shared" si="10"/>
        <v>1656.4</v>
      </c>
      <c r="AE51" s="116">
        <f t="shared" si="10"/>
        <v>1656.4</v>
      </c>
      <c r="AF51" s="7"/>
    </row>
    <row r="52" spans="1:32" ht="12.75">
      <c r="A52" s="865"/>
      <c r="B52" s="254">
        <v>1</v>
      </c>
      <c r="C52" s="255"/>
      <c r="D52" s="256">
        <f t="shared" si="9"/>
        <v>-231.96774193548387</v>
      </c>
      <c r="E52" s="256"/>
      <c r="F52" s="178"/>
      <c r="G52" s="178"/>
      <c r="H52" s="865"/>
      <c r="I52" s="865"/>
      <c r="J52" s="190">
        <v>1</v>
      </c>
      <c r="K52" s="116">
        <v>1301</v>
      </c>
      <c r="L52" s="116">
        <v>0</v>
      </c>
      <c r="M52" s="116">
        <v>1282</v>
      </c>
      <c r="N52" s="116">
        <v>4934</v>
      </c>
      <c r="O52" s="116">
        <v>6187</v>
      </c>
      <c r="P52" s="116">
        <v>7713</v>
      </c>
      <c r="Q52" s="116">
        <v>8663</v>
      </c>
      <c r="R52" s="116">
        <v>7949.2</v>
      </c>
      <c r="S52" s="116">
        <v>10902</v>
      </c>
      <c r="T52" s="116">
        <v>10107.066666666668</v>
      </c>
      <c r="U52" s="212">
        <f t="shared" ref="U52:AE52" si="11">T52+U7-U32</f>
        <v>9308.0666666666675</v>
      </c>
      <c r="V52" s="116">
        <f t="shared" si="11"/>
        <v>8501.0666666666675</v>
      </c>
      <c r="W52" s="116">
        <f t="shared" si="11"/>
        <v>7678.0666666666675</v>
      </c>
      <c r="X52" s="116">
        <f t="shared" si="11"/>
        <v>6830.0666666666675</v>
      </c>
      <c r="Y52" s="116">
        <f t="shared" si="11"/>
        <v>5931.0666666666675</v>
      </c>
      <c r="Z52" s="116">
        <f t="shared" si="11"/>
        <v>4987.0666666666675</v>
      </c>
      <c r="AA52" s="212">
        <f t="shared" si="11"/>
        <v>4005.0666666666675</v>
      </c>
      <c r="AB52" s="116">
        <f t="shared" si="11"/>
        <v>2994.0666666666675</v>
      </c>
      <c r="AC52" s="116">
        <f t="shared" si="11"/>
        <v>1963.0666666666675</v>
      </c>
      <c r="AD52" s="116">
        <f t="shared" si="11"/>
        <v>1963.0666666666675</v>
      </c>
      <c r="AE52" s="116">
        <f t="shared" si="11"/>
        <v>1963.0666666666675</v>
      </c>
      <c r="AF52" s="7"/>
    </row>
    <row r="53" spans="1:32" ht="12.75">
      <c r="A53" s="865"/>
      <c r="B53" s="254" t="s">
        <v>119</v>
      </c>
      <c r="C53" s="255"/>
      <c r="D53" s="256">
        <f t="shared" si="9"/>
        <v>-97.258064516129039</v>
      </c>
      <c r="E53" s="256"/>
      <c r="F53" s="178"/>
      <c r="G53" s="178"/>
      <c r="H53" s="865"/>
      <c r="I53" s="865"/>
      <c r="J53" s="190" t="s">
        <v>119</v>
      </c>
      <c r="K53" s="116">
        <v>13865</v>
      </c>
      <c r="L53" s="116">
        <v>11903</v>
      </c>
      <c r="M53" s="116">
        <v>10128</v>
      </c>
      <c r="N53" s="116">
        <v>8377</v>
      </c>
      <c r="O53" s="116">
        <v>14109</v>
      </c>
      <c r="P53" s="116">
        <v>0</v>
      </c>
      <c r="Q53" s="116">
        <v>0</v>
      </c>
      <c r="R53" s="116">
        <v>-2.6666666666666668E-2</v>
      </c>
      <c r="S53" s="116">
        <v>6326</v>
      </c>
      <c r="T53" s="116">
        <v>6061.4666666666662</v>
      </c>
      <c r="U53" s="212">
        <f t="shared" ref="U53:AE53" si="12">T53+U9-U33</f>
        <v>5726.4666666666662</v>
      </c>
      <c r="V53" s="116">
        <f t="shared" si="12"/>
        <v>5341.4666666666662</v>
      </c>
      <c r="W53" s="116">
        <f t="shared" si="12"/>
        <v>4745.4666666666662</v>
      </c>
      <c r="X53" s="116">
        <f t="shared" si="12"/>
        <v>4023.4666666666662</v>
      </c>
      <c r="Y53" s="116">
        <f t="shared" si="12"/>
        <v>3251.4666666666662</v>
      </c>
      <c r="Z53" s="116">
        <f t="shared" si="12"/>
        <v>2456.4666666666662</v>
      </c>
      <c r="AA53" s="212">
        <f t="shared" si="12"/>
        <v>1724.4666666666662</v>
      </c>
      <c r="AB53" s="116">
        <f t="shared" si="12"/>
        <v>978.46666666666624</v>
      </c>
      <c r="AC53" s="116">
        <f t="shared" si="12"/>
        <v>75.466666666666242</v>
      </c>
      <c r="AD53" s="116">
        <f t="shared" si="12"/>
        <v>75.466666666666242</v>
      </c>
      <c r="AE53" s="116">
        <f t="shared" si="12"/>
        <v>75.466666666666242</v>
      </c>
      <c r="AF53" s="7"/>
    </row>
    <row r="54" spans="1:32" ht="12.75">
      <c r="A54" s="865"/>
      <c r="B54" s="254">
        <v>2</v>
      </c>
      <c r="C54" s="255"/>
      <c r="D54" s="256">
        <f t="shared" si="9"/>
        <v>-328.35483870967744</v>
      </c>
      <c r="E54" s="256"/>
      <c r="F54" s="178"/>
      <c r="G54" s="178"/>
      <c r="H54" s="865"/>
      <c r="I54" s="865"/>
      <c r="J54" s="190">
        <v>2</v>
      </c>
      <c r="K54" s="116">
        <v>6730</v>
      </c>
      <c r="L54" s="116">
        <v>5473</v>
      </c>
      <c r="M54" s="116">
        <v>4249</v>
      </c>
      <c r="N54" s="116">
        <v>2605</v>
      </c>
      <c r="O54" s="116">
        <v>2356</v>
      </c>
      <c r="P54" s="116">
        <v>2446</v>
      </c>
      <c r="Q54" s="116">
        <v>2511</v>
      </c>
      <c r="R54" s="116">
        <v>1161.6666666666667</v>
      </c>
      <c r="S54" s="116">
        <v>7697</v>
      </c>
      <c r="T54" s="116">
        <v>6510.2</v>
      </c>
      <c r="U54" s="212">
        <f t="shared" ref="U54:AE54" si="13">T54+U10-U34</f>
        <v>5379.2</v>
      </c>
      <c r="V54" s="116">
        <f t="shared" si="13"/>
        <v>4225.2</v>
      </c>
      <c r="W54" s="116">
        <f t="shared" si="13"/>
        <v>3048.2</v>
      </c>
      <c r="X54" s="116">
        <f t="shared" si="13"/>
        <v>1801.1999999999998</v>
      </c>
      <c r="Y54" s="116">
        <f t="shared" si="13"/>
        <v>504.19999999999982</v>
      </c>
      <c r="Z54" s="116">
        <f t="shared" si="13"/>
        <v>-831.80000000000018</v>
      </c>
      <c r="AA54" s="212">
        <f t="shared" si="13"/>
        <v>-2154.8000000000002</v>
      </c>
      <c r="AB54" s="116">
        <f t="shared" si="13"/>
        <v>-3437.8</v>
      </c>
      <c r="AC54" s="116">
        <f t="shared" si="13"/>
        <v>-4912.8</v>
      </c>
      <c r="AD54" s="116">
        <f t="shared" si="13"/>
        <v>-4912.8</v>
      </c>
      <c r="AE54" s="116">
        <f t="shared" si="13"/>
        <v>-4912.8</v>
      </c>
      <c r="AF54" s="7"/>
    </row>
    <row r="55" spans="1:32" ht="12.75">
      <c r="A55" s="865"/>
      <c r="B55" s="254" t="s">
        <v>124</v>
      </c>
      <c r="C55" s="255"/>
      <c r="D55" s="256">
        <f t="shared" si="9"/>
        <v>-178.83870967741936</v>
      </c>
      <c r="E55" s="256"/>
      <c r="F55" s="178"/>
      <c r="G55" s="178"/>
      <c r="H55" s="865"/>
      <c r="I55" s="865"/>
      <c r="J55" s="190" t="s">
        <v>124</v>
      </c>
      <c r="K55" s="116">
        <v>14739</v>
      </c>
      <c r="L55" s="116">
        <v>12610</v>
      </c>
      <c r="M55" s="116">
        <v>10681</v>
      </c>
      <c r="N55" s="116">
        <v>8444</v>
      </c>
      <c r="O55" s="116">
        <v>12969</v>
      </c>
      <c r="P55" s="116">
        <v>10211</v>
      </c>
      <c r="Q55" s="116">
        <v>11645</v>
      </c>
      <c r="R55" s="116">
        <v>11002.466666666667</v>
      </c>
      <c r="S55" s="116">
        <v>22295</v>
      </c>
      <c r="T55" s="116">
        <v>26586.400000000001</v>
      </c>
      <c r="U55" s="212">
        <f t="shared" ref="U55:AE55" si="14">T55+U12-U35</f>
        <v>25970.400000000001</v>
      </c>
      <c r="V55" s="116">
        <f t="shared" si="14"/>
        <v>25317.4</v>
      </c>
      <c r="W55" s="116">
        <f t="shared" si="14"/>
        <v>24272.400000000001</v>
      </c>
      <c r="X55" s="116">
        <f t="shared" si="14"/>
        <v>22903.4</v>
      </c>
      <c r="Y55" s="116">
        <f t="shared" si="14"/>
        <v>21356.400000000001</v>
      </c>
      <c r="Z55" s="116">
        <f t="shared" si="14"/>
        <v>19762.400000000001</v>
      </c>
      <c r="AA55" s="212">
        <f t="shared" si="14"/>
        <v>18296.400000000001</v>
      </c>
      <c r="AB55" s="116">
        <f t="shared" si="14"/>
        <v>16859.400000000001</v>
      </c>
      <c r="AC55" s="116">
        <f t="shared" si="14"/>
        <v>15235.400000000001</v>
      </c>
      <c r="AD55" s="116">
        <f t="shared" si="14"/>
        <v>15235.400000000001</v>
      </c>
      <c r="AE55" s="116">
        <f t="shared" si="14"/>
        <v>15235.400000000001</v>
      </c>
      <c r="AF55" s="7"/>
    </row>
    <row r="56" spans="1:32" ht="12.75">
      <c r="A56" s="866"/>
      <c r="B56" s="254">
        <v>3</v>
      </c>
      <c r="C56" s="255"/>
      <c r="D56" s="256">
        <f t="shared" si="9"/>
        <v>-66.774193548387089</v>
      </c>
      <c r="E56" s="256"/>
      <c r="F56" s="178"/>
      <c r="G56" s="178"/>
      <c r="H56" s="865"/>
      <c r="I56" s="866"/>
      <c r="J56" s="190">
        <v>3</v>
      </c>
      <c r="K56" s="116">
        <v>29</v>
      </c>
      <c r="L56" s="116">
        <v>0</v>
      </c>
      <c r="M56" s="116">
        <v>1195</v>
      </c>
      <c r="N56" s="116">
        <v>857</v>
      </c>
      <c r="O56" s="116">
        <v>298</v>
      </c>
      <c r="P56" s="116">
        <v>540</v>
      </c>
      <c r="Q56" s="116">
        <v>240</v>
      </c>
      <c r="R56" s="116">
        <v>0</v>
      </c>
      <c r="S56" s="116">
        <v>4365</v>
      </c>
      <c r="T56" s="116">
        <v>4136.5333333333338</v>
      </c>
      <c r="U56" s="212">
        <f t="shared" ref="U56:AE56" si="15">T56+U13-U36</f>
        <v>3906.5333333333338</v>
      </c>
      <c r="V56" s="116">
        <f t="shared" si="15"/>
        <v>3672.5333333333338</v>
      </c>
      <c r="W56" s="116">
        <f t="shared" si="15"/>
        <v>3433.5333333333338</v>
      </c>
      <c r="X56" s="116">
        <f t="shared" si="15"/>
        <v>3187.5333333333338</v>
      </c>
      <c r="Y56" s="116">
        <f t="shared" si="15"/>
        <v>2929.5333333333338</v>
      </c>
      <c r="Z56" s="116">
        <f t="shared" si="15"/>
        <v>2660.5333333333338</v>
      </c>
      <c r="AA56" s="212">
        <f t="shared" si="15"/>
        <v>2378.5333333333338</v>
      </c>
      <c r="AB56" s="116">
        <f t="shared" si="15"/>
        <v>2079.5333333333338</v>
      </c>
      <c r="AC56" s="116">
        <f t="shared" si="15"/>
        <v>1771.5333333333338</v>
      </c>
      <c r="AD56" s="116">
        <f t="shared" si="15"/>
        <v>1771.5333333333338</v>
      </c>
      <c r="AE56" s="116">
        <f t="shared" si="15"/>
        <v>1771.5333333333338</v>
      </c>
      <c r="AF56" s="7"/>
    </row>
    <row r="57" spans="1:32" ht="12.75">
      <c r="A57" s="901" t="s">
        <v>32</v>
      </c>
      <c r="B57" s="259" t="s">
        <v>110</v>
      </c>
      <c r="C57" s="255"/>
      <c r="D57" s="256">
        <f t="shared" si="9"/>
        <v>-836.12903225806451</v>
      </c>
      <c r="E57" s="256"/>
      <c r="F57" s="178"/>
      <c r="G57" s="178"/>
      <c r="H57" s="865"/>
      <c r="I57" s="892" t="s">
        <v>32</v>
      </c>
      <c r="J57" s="205" t="s">
        <v>110</v>
      </c>
      <c r="K57" s="116">
        <v>13157</v>
      </c>
      <c r="L57" s="116">
        <v>18869</v>
      </c>
      <c r="M57" s="116">
        <v>18706</v>
      </c>
      <c r="N57" s="116">
        <v>31891</v>
      </c>
      <c r="O57" s="116">
        <v>37421</v>
      </c>
      <c r="P57" s="116">
        <v>29421</v>
      </c>
      <c r="Q57" s="116">
        <v>26829</v>
      </c>
      <c r="R57" s="116">
        <v>53192.666666666664</v>
      </c>
      <c r="S57" s="116">
        <v>51109</v>
      </c>
      <c r="T57" s="116">
        <v>50129.466666666667</v>
      </c>
      <c r="U57" s="212">
        <f t="shared" ref="U57:AE57" si="16">T57+U14-U37</f>
        <v>47249.466666666667</v>
      </c>
      <c r="V57" s="116">
        <f t="shared" si="16"/>
        <v>44283.466666666667</v>
      </c>
      <c r="W57" s="116">
        <f t="shared" si="16"/>
        <v>41198.466666666667</v>
      </c>
      <c r="X57" s="116">
        <f t="shared" si="16"/>
        <v>37928.466666666667</v>
      </c>
      <c r="Y57" s="116">
        <f t="shared" si="16"/>
        <v>34396.466666666667</v>
      </c>
      <c r="Z57" s="116">
        <f t="shared" si="16"/>
        <v>30723.466666666667</v>
      </c>
      <c r="AA57" s="212">
        <f t="shared" si="16"/>
        <v>26940.466666666667</v>
      </c>
      <c r="AB57" s="116">
        <f t="shared" si="16"/>
        <v>23044.466666666667</v>
      </c>
      <c r="AC57" s="116">
        <f t="shared" si="16"/>
        <v>19070.466666666667</v>
      </c>
      <c r="AD57" s="116">
        <f t="shared" si="16"/>
        <v>19070.466666666667</v>
      </c>
      <c r="AE57" s="116">
        <f t="shared" si="16"/>
        <v>19070.466666666667</v>
      </c>
      <c r="AF57" s="7"/>
    </row>
    <row r="58" spans="1:32" ht="12.75">
      <c r="A58" s="865"/>
      <c r="B58" s="259">
        <v>1</v>
      </c>
      <c r="C58" s="255"/>
      <c r="D58" s="256">
        <f t="shared" si="9"/>
        <v>-1486.741935483871</v>
      </c>
      <c r="E58" s="256"/>
      <c r="F58" s="178"/>
      <c r="G58" s="178"/>
      <c r="H58" s="865"/>
      <c r="I58" s="865"/>
      <c r="J58" s="205">
        <v>1</v>
      </c>
      <c r="K58" s="116">
        <v>43963</v>
      </c>
      <c r="L58" s="116">
        <v>32815</v>
      </c>
      <c r="M58" s="116">
        <v>33370</v>
      </c>
      <c r="N58" s="116">
        <v>90234</v>
      </c>
      <c r="O58" s="116">
        <v>91523</v>
      </c>
      <c r="P58" s="116">
        <v>62384</v>
      </c>
      <c r="Q58" s="116">
        <v>57177</v>
      </c>
      <c r="R58" s="116">
        <v>82326.8</v>
      </c>
      <c r="S58" s="116">
        <v>77809</v>
      </c>
      <c r="T58" s="116">
        <v>83630.933333333334</v>
      </c>
      <c r="U58" s="212">
        <f t="shared" ref="U58:AE58" si="17">T58+U15-U38</f>
        <v>78509.933333333334</v>
      </c>
      <c r="V58" s="116">
        <f t="shared" si="17"/>
        <v>73234.933333333334</v>
      </c>
      <c r="W58" s="116">
        <f t="shared" si="17"/>
        <v>67854.933333333334</v>
      </c>
      <c r="X58" s="116">
        <f t="shared" si="17"/>
        <v>62366.933333333334</v>
      </c>
      <c r="Y58" s="116">
        <f t="shared" si="17"/>
        <v>56659.933333333334</v>
      </c>
      <c r="Z58" s="116">
        <f t="shared" si="17"/>
        <v>50724.933333333334</v>
      </c>
      <c r="AA58" s="212">
        <f t="shared" si="17"/>
        <v>44670.933333333334</v>
      </c>
      <c r="AB58" s="116">
        <f t="shared" si="17"/>
        <v>38434.933333333334</v>
      </c>
      <c r="AC58" s="116">
        <f t="shared" si="17"/>
        <v>32011.933333333334</v>
      </c>
      <c r="AD58" s="116">
        <f t="shared" si="17"/>
        <v>32011.933333333334</v>
      </c>
      <c r="AE58" s="116">
        <f t="shared" si="17"/>
        <v>32011.933333333334</v>
      </c>
      <c r="AF58" s="7"/>
    </row>
    <row r="59" spans="1:32" ht="12.75">
      <c r="A59" s="865"/>
      <c r="B59" s="259">
        <v>2</v>
      </c>
      <c r="C59" s="255"/>
      <c r="D59" s="256">
        <f t="shared" si="9"/>
        <v>-2728.7419354838707</v>
      </c>
      <c r="E59" s="256"/>
      <c r="F59" s="178"/>
      <c r="G59" s="178"/>
      <c r="H59" s="865"/>
      <c r="I59" s="865"/>
      <c r="J59" s="205">
        <v>2</v>
      </c>
      <c r="K59" s="116">
        <v>24590</v>
      </c>
      <c r="L59" s="116">
        <v>54489</v>
      </c>
      <c r="M59" s="116">
        <v>75119</v>
      </c>
      <c r="N59" s="116">
        <v>85815</v>
      </c>
      <c r="O59" s="116">
        <v>85573</v>
      </c>
      <c r="P59" s="116">
        <v>106498</v>
      </c>
      <c r="Q59" s="116">
        <v>104606</v>
      </c>
      <c r="R59" s="116">
        <v>129815.26666666666</v>
      </c>
      <c r="S59" s="116">
        <v>119550</v>
      </c>
      <c r="T59" s="116">
        <v>127811.2</v>
      </c>
      <c r="U59" s="212">
        <f t="shared" ref="U59:AE59" si="18">T59+U16-U39</f>
        <v>118412.2</v>
      </c>
      <c r="V59" s="116">
        <f t="shared" si="18"/>
        <v>108543.2</v>
      </c>
      <c r="W59" s="116">
        <f t="shared" si="18"/>
        <v>98180.2</v>
      </c>
      <c r="X59" s="116">
        <f t="shared" si="18"/>
        <v>87403.199999999997</v>
      </c>
      <c r="Y59" s="116">
        <f t="shared" si="18"/>
        <v>75979.199999999997</v>
      </c>
      <c r="Z59" s="116">
        <f t="shared" si="18"/>
        <v>64098.2</v>
      </c>
      <c r="AA59" s="212">
        <f t="shared" si="18"/>
        <v>51861.2</v>
      </c>
      <c r="AB59" s="116">
        <f t="shared" si="18"/>
        <v>39379.199999999997</v>
      </c>
      <c r="AC59" s="116">
        <f t="shared" si="18"/>
        <v>26523.199999999997</v>
      </c>
      <c r="AD59" s="116">
        <f t="shared" si="18"/>
        <v>26523.199999999997</v>
      </c>
      <c r="AE59" s="116">
        <f t="shared" si="18"/>
        <v>26523.199999999997</v>
      </c>
      <c r="AF59" s="7"/>
    </row>
    <row r="60" spans="1:32" ht="12.75">
      <c r="A60" s="866"/>
      <c r="B60" s="259" t="s">
        <v>131</v>
      </c>
      <c r="C60" s="255"/>
      <c r="D60" s="256">
        <f t="shared" si="9"/>
        <v>-457.54838709677415</v>
      </c>
      <c r="E60" s="256"/>
      <c r="F60" s="178"/>
      <c r="G60" s="178"/>
      <c r="H60" s="865"/>
      <c r="I60" s="866"/>
      <c r="J60" s="205" t="s">
        <v>131</v>
      </c>
      <c r="K60" s="116">
        <v>4250</v>
      </c>
      <c r="L60" s="116">
        <v>6898</v>
      </c>
      <c r="M60" s="116">
        <v>7529</v>
      </c>
      <c r="N60" s="116">
        <v>13264</v>
      </c>
      <c r="O60" s="116">
        <v>14341</v>
      </c>
      <c r="P60" s="116">
        <v>15055</v>
      </c>
      <c r="Q60" s="116">
        <v>17143</v>
      </c>
      <c r="R60" s="116">
        <v>17751.733333333334</v>
      </c>
      <c r="S60" s="116">
        <v>16395</v>
      </c>
      <c r="T60" s="116">
        <v>18375</v>
      </c>
      <c r="U60" s="212">
        <f t="shared" ref="U60:AE60" si="19">T60+U17-U40</f>
        <v>16799</v>
      </c>
      <c r="V60" s="116">
        <f t="shared" si="19"/>
        <v>15192</v>
      </c>
      <c r="W60" s="116">
        <f t="shared" si="19"/>
        <v>13552</v>
      </c>
      <c r="X60" s="116">
        <f t="shared" si="19"/>
        <v>11880</v>
      </c>
      <c r="Y60" s="116">
        <f t="shared" si="19"/>
        <v>10091</v>
      </c>
      <c r="Z60" s="116">
        <f t="shared" si="19"/>
        <v>8158</v>
      </c>
      <c r="AA60" s="212">
        <f t="shared" si="19"/>
        <v>6167</v>
      </c>
      <c r="AB60" s="116">
        <f t="shared" si="19"/>
        <v>4117</v>
      </c>
      <c r="AC60" s="116">
        <f t="shared" si="19"/>
        <v>2005</v>
      </c>
      <c r="AD60" s="116">
        <f t="shared" si="19"/>
        <v>2005</v>
      </c>
      <c r="AE60" s="116">
        <f t="shared" si="19"/>
        <v>2005</v>
      </c>
      <c r="AF60" s="7"/>
    </row>
    <row r="61" spans="1:32" ht="12.75">
      <c r="A61" s="902" t="s">
        <v>132</v>
      </c>
      <c r="B61" s="260" t="s">
        <v>133</v>
      </c>
      <c r="C61" s="255"/>
      <c r="D61" s="256">
        <f t="shared" si="9"/>
        <v>-54.29032258064516</v>
      </c>
      <c r="E61" s="256"/>
      <c r="F61" s="178"/>
      <c r="G61" s="178"/>
      <c r="H61" s="865"/>
      <c r="I61" s="893" t="s">
        <v>132</v>
      </c>
      <c r="J61" s="210" t="s">
        <v>133</v>
      </c>
      <c r="K61" s="116">
        <v>2648</v>
      </c>
      <c r="L61" s="116">
        <v>3114</v>
      </c>
      <c r="M61" s="116">
        <v>2602</v>
      </c>
      <c r="N61" s="116">
        <v>2045</v>
      </c>
      <c r="O61" s="116">
        <v>1299</v>
      </c>
      <c r="P61" s="116">
        <v>945</v>
      </c>
      <c r="Q61" s="116">
        <v>709</v>
      </c>
      <c r="R61" s="116">
        <v>467.5333333333333</v>
      </c>
      <c r="S61" s="116">
        <v>259</v>
      </c>
      <c r="T61" s="116">
        <v>3100.2</v>
      </c>
      <c r="U61" s="212">
        <f t="shared" ref="U61:AE61" si="20">T61+U19-U41</f>
        <v>2913.2</v>
      </c>
      <c r="V61" s="116">
        <f t="shared" si="20"/>
        <v>2721.2</v>
      </c>
      <c r="W61" s="116">
        <f t="shared" si="20"/>
        <v>2523.1999999999998</v>
      </c>
      <c r="X61" s="116">
        <f t="shared" si="20"/>
        <v>2321.1999999999998</v>
      </c>
      <c r="Y61" s="116">
        <f t="shared" si="20"/>
        <v>2113.1999999999998</v>
      </c>
      <c r="Z61" s="116">
        <f t="shared" si="20"/>
        <v>1901.1999999999998</v>
      </c>
      <c r="AA61" s="212">
        <f t="shared" si="20"/>
        <v>1685.1999999999998</v>
      </c>
      <c r="AB61" s="116">
        <f t="shared" si="20"/>
        <v>1464.1999999999998</v>
      </c>
      <c r="AC61" s="116">
        <f t="shared" si="20"/>
        <v>1239.1999999999998</v>
      </c>
      <c r="AD61" s="116">
        <f t="shared" si="20"/>
        <v>1239.1999999999998</v>
      </c>
      <c r="AE61" s="116">
        <f t="shared" si="20"/>
        <v>1239.1999999999998</v>
      </c>
      <c r="AF61" s="7"/>
    </row>
    <row r="62" spans="1:32" ht="12.75">
      <c r="A62" s="866"/>
      <c r="B62" s="260" t="s">
        <v>134</v>
      </c>
      <c r="C62" s="255"/>
      <c r="D62" s="256">
        <f t="shared" si="9"/>
        <v>-65.322580645161281</v>
      </c>
      <c r="E62" s="256"/>
      <c r="F62" s="178"/>
      <c r="G62" s="178"/>
      <c r="H62" s="865"/>
      <c r="I62" s="866"/>
      <c r="J62" s="210" t="s">
        <v>134</v>
      </c>
      <c r="K62" s="116">
        <v>548</v>
      </c>
      <c r="L62" s="116">
        <v>422</v>
      </c>
      <c r="M62" s="116">
        <v>1326</v>
      </c>
      <c r="N62" s="116">
        <v>2131</v>
      </c>
      <c r="O62" s="116">
        <v>1915</v>
      </c>
      <c r="P62" s="116">
        <v>1683</v>
      </c>
      <c r="Q62" s="116">
        <v>1573</v>
      </c>
      <c r="R62" s="116">
        <v>1417.5333333333333</v>
      </c>
      <c r="S62" s="116">
        <v>1175</v>
      </c>
      <c r="T62" s="116">
        <v>965.93333333333328</v>
      </c>
      <c r="U62" s="212">
        <f t="shared" ref="U62:AE62" si="21">T62+U20-U42</f>
        <v>740.93333333333328</v>
      </c>
      <c r="V62" s="116">
        <f t="shared" si="21"/>
        <v>509.93333333333328</v>
      </c>
      <c r="W62" s="116">
        <f t="shared" si="21"/>
        <v>273.93333333333328</v>
      </c>
      <c r="X62" s="116">
        <f t="shared" si="21"/>
        <v>32.93333333333328</v>
      </c>
      <c r="Y62" s="116">
        <f t="shared" si="21"/>
        <v>-213.06666666666672</v>
      </c>
      <c r="Z62" s="116">
        <f t="shared" si="21"/>
        <v>543.93333333333328</v>
      </c>
      <c r="AA62" s="212">
        <f t="shared" si="21"/>
        <v>287.93333333333328</v>
      </c>
      <c r="AB62" s="116">
        <f t="shared" si="21"/>
        <v>26.93333333333328</v>
      </c>
      <c r="AC62" s="116">
        <f t="shared" si="21"/>
        <v>-241.06666666666672</v>
      </c>
      <c r="AD62" s="116">
        <f t="shared" si="21"/>
        <v>-241.06666666666672</v>
      </c>
      <c r="AE62" s="116">
        <f t="shared" si="21"/>
        <v>-241.06666666666672</v>
      </c>
      <c r="AF62" s="7"/>
    </row>
    <row r="63" spans="1:32" ht="12.75">
      <c r="A63" s="903" t="s">
        <v>135</v>
      </c>
      <c r="B63" s="261" t="s">
        <v>136</v>
      </c>
      <c r="C63" s="255"/>
      <c r="D63" s="256">
        <f t="shared" si="9"/>
        <v>-292.06451612903226</v>
      </c>
      <c r="E63" s="256"/>
      <c r="F63" s="178"/>
      <c r="G63" s="178"/>
      <c r="H63" s="865"/>
      <c r="I63" s="895" t="s">
        <v>135</v>
      </c>
      <c r="J63" s="217" t="s">
        <v>136</v>
      </c>
      <c r="K63" s="117">
        <v>0</v>
      </c>
      <c r="L63" s="117">
        <v>0</v>
      </c>
      <c r="M63" s="117">
        <v>3431</v>
      </c>
      <c r="N63" s="117">
        <v>3423</v>
      </c>
      <c r="O63" s="117">
        <v>6159</v>
      </c>
      <c r="P63" s="117">
        <v>12623</v>
      </c>
      <c r="Q63" s="117">
        <v>12311</v>
      </c>
      <c r="R63" s="117">
        <v>11888</v>
      </c>
      <c r="S63" s="117">
        <v>11535</v>
      </c>
      <c r="T63" s="262">
        <v>13854</v>
      </c>
      <c r="U63" s="212">
        <f t="shared" ref="U63:V63" si="22">T63+U21-U43</f>
        <v>12848</v>
      </c>
      <c r="V63" s="116">
        <f t="shared" si="22"/>
        <v>11832</v>
      </c>
      <c r="W63" s="263">
        <f>V63+W21-W43-1100</f>
        <v>9686</v>
      </c>
      <c r="X63" s="264">
        <f>W63+X21-X43-5600</f>
        <v>3029</v>
      </c>
      <c r="Y63" s="262">
        <f>X63+Y21-Y43</f>
        <v>1962</v>
      </c>
      <c r="Z63" s="265">
        <f t="shared" ref="Z63:Z64" si="23">Y63+Z21-Z43-2000</f>
        <v>-1116</v>
      </c>
      <c r="AA63" s="294">
        <f t="shared" ref="AA63:AB63" si="24">Z63+AA21-AA43</f>
        <v>1216</v>
      </c>
      <c r="AB63" s="267">
        <f t="shared" si="24"/>
        <v>94</v>
      </c>
      <c r="AC63" s="267">
        <f t="shared" ref="AC63:AE63" si="25">AB63+AC21-AC43-1000</f>
        <v>-2050</v>
      </c>
      <c r="AD63" s="267">
        <f t="shared" si="25"/>
        <v>-3050</v>
      </c>
      <c r="AE63" s="267">
        <f t="shared" si="25"/>
        <v>-4050</v>
      </c>
      <c r="AF63" s="7"/>
    </row>
    <row r="64" spans="1:32" ht="12.75">
      <c r="A64" s="865"/>
      <c r="B64" s="261" t="s">
        <v>137</v>
      </c>
      <c r="C64" s="255"/>
      <c r="D64" s="256">
        <f t="shared" si="9"/>
        <v>-308.90322580645159</v>
      </c>
      <c r="E64" s="256"/>
      <c r="F64" s="178"/>
      <c r="G64" s="178"/>
      <c r="H64" s="865"/>
      <c r="I64" s="865"/>
      <c r="J64" s="217" t="s">
        <v>137</v>
      </c>
      <c r="K64" s="117">
        <v>0</v>
      </c>
      <c r="L64" s="117">
        <v>0</v>
      </c>
      <c r="M64" s="117">
        <v>3431</v>
      </c>
      <c r="N64" s="117">
        <v>3415</v>
      </c>
      <c r="O64" s="117">
        <v>6143</v>
      </c>
      <c r="P64" s="117">
        <v>12719</v>
      </c>
      <c r="Q64" s="117">
        <v>12455</v>
      </c>
      <c r="R64" s="117">
        <v>12059</v>
      </c>
      <c r="S64" s="117">
        <v>11639</v>
      </c>
      <c r="T64" s="266">
        <v>13860</v>
      </c>
      <c r="U64" s="212">
        <f t="shared" ref="U64:V64" si="26">T64+U22-U44</f>
        <v>12796</v>
      </c>
      <c r="V64" s="116">
        <f t="shared" si="26"/>
        <v>11700</v>
      </c>
      <c r="W64" s="263">
        <f>V64+W22-W44-800</f>
        <v>9772</v>
      </c>
      <c r="X64" s="267">
        <f t="shared" ref="X64:X65" si="27">W64+X22-X44</f>
        <v>8621</v>
      </c>
      <c r="Y64" s="265">
        <f>X64+Y22-Y44-4900</f>
        <v>2558</v>
      </c>
      <c r="Z64" s="265">
        <f t="shared" si="23"/>
        <v>-616</v>
      </c>
      <c r="AA64" s="294">
        <f t="shared" ref="AA64:AB64" si="28">Z64+AA22-AA44</f>
        <v>1607</v>
      </c>
      <c r="AB64" s="267">
        <f t="shared" si="28"/>
        <v>373</v>
      </c>
      <c r="AC64" s="267">
        <f t="shared" ref="AC64:AE64" si="29">AB64+AC22-AC44-100</f>
        <v>-985</v>
      </c>
      <c r="AD64" s="267">
        <f t="shared" si="29"/>
        <v>-1085</v>
      </c>
      <c r="AE64" s="267">
        <f t="shared" si="29"/>
        <v>-1185</v>
      </c>
      <c r="AF64" s="7"/>
    </row>
    <row r="65" spans="1:32" ht="12.75">
      <c r="A65" s="865"/>
      <c r="B65" s="261" t="s">
        <v>138</v>
      </c>
      <c r="C65" s="255"/>
      <c r="D65" s="256">
        <f t="shared" si="9"/>
        <v>-359.12903225806451</v>
      </c>
      <c r="E65" s="256"/>
      <c r="F65" s="178"/>
      <c r="G65" s="178"/>
      <c r="H65" s="865"/>
      <c r="I65" s="865"/>
      <c r="J65" s="217" t="s">
        <v>138</v>
      </c>
      <c r="K65" s="117">
        <v>0</v>
      </c>
      <c r="L65" s="117">
        <v>0</v>
      </c>
      <c r="M65" s="117">
        <v>3431</v>
      </c>
      <c r="N65" s="117">
        <v>3375</v>
      </c>
      <c r="O65" s="117">
        <v>6003</v>
      </c>
      <c r="P65" s="117">
        <v>5547</v>
      </c>
      <c r="Q65" s="117">
        <v>5219</v>
      </c>
      <c r="R65" s="117">
        <v>4902</v>
      </c>
      <c r="S65" s="117">
        <v>4659</v>
      </c>
      <c r="T65" s="116">
        <v>6784</v>
      </c>
      <c r="U65" s="212">
        <f t="shared" ref="U65:V65" si="30">T65+U23-U45</f>
        <v>5547</v>
      </c>
      <c r="V65" s="116">
        <f t="shared" si="30"/>
        <v>4285</v>
      </c>
      <c r="W65" s="263">
        <f>V65+W23-W45-400</f>
        <v>2598</v>
      </c>
      <c r="X65" s="267">
        <f t="shared" si="27"/>
        <v>1285</v>
      </c>
      <c r="Y65" s="116">
        <f t="shared" ref="Y65:Z65" si="31">X65+Y23-Y45</f>
        <v>-41</v>
      </c>
      <c r="Z65" s="116">
        <f t="shared" si="31"/>
        <v>-1380</v>
      </c>
      <c r="AA65" s="294">
        <f>Z65+AA23-AA45-500</f>
        <v>3605</v>
      </c>
      <c r="AB65" s="267">
        <f>AA65+AB23-AB45</f>
        <v>2198</v>
      </c>
      <c r="AC65" s="267">
        <f t="shared" ref="AC65:AE65" si="32">AB65+AC23-AC45-2200</f>
        <v>-1437</v>
      </c>
      <c r="AD65" s="267">
        <f t="shared" si="32"/>
        <v>-3637</v>
      </c>
      <c r="AE65" s="267">
        <f t="shared" si="32"/>
        <v>-5837</v>
      </c>
      <c r="AF65" s="7"/>
    </row>
    <row r="66" spans="1:32" ht="12.75">
      <c r="A66" s="866"/>
      <c r="B66" s="261" t="s">
        <v>139</v>
      </c>
      <c r="C66" s="255"/>
      <c r="D66" s="256">
        <f t="shared" si="9"/>
        <v>-260.70967741935488</v>
      </c>
      <c r="E66" s="256"/>
      <c r="F66" s="178"/>
      <c r="G66" s="178"/>
      <c r="H66" s="866"/>
      <c r="I66" s="866"/>
      <c r="J66" s="217" t="s">
        <v>139</v>
      </c>
      <c r="K66" s="117">
        <v>0</v>
      </c>
      <c r="L66" s="117">
        <v>0</v>
      </c>
      <c r="M66" s="117">
        <v>3408</v>
      </c>
      <c r="N66" s="117">
        <v>3320</v>
      </c>
      <c r="O66" s="117">
        <v>5680</v>
      </c>
      <c r="P66" s="117">
        <v>5320</v>
      </c>
      <c r="Q66" s="117">
        <v>4936</v>
      </c>
      <c r="R66" s="117">
        <v>4713</v>
      </c>
      <c r="S66" s="117">
        <v>4400</v>
      </c>
      <c r="T66" s="266">
        <v>6540</v>
      </c>
      <c r="U66" s="212">
        <f>T66+U24-U46</f>
        <v>5642</v>
      </c>
      <c r="V66" s="214">
        <f>U66+V24-V46-1900</f>
        <v>2862</v>
      </c>
      <c r="W66" s="144">
        <f t="shared" ref="W66:X66" si="33">V66+W24-W46</f>
        <v>1973</v>
      </c>
      <c r="X66" s="267">
        <f t="shared" si="33"/>
        <v>1075</v>
      </c>
      <c r="Y66" s="266">
        <f>X66+Y24-Y46-1000</f>
        <v>-832</v>
      </c>
      <c r="Z66" s="266">
        <f t="shared" ref="Z66:AA66" si="34">Y66+Z24-Z46</f>
        <v>-1748</v>
      </c>
      <c r="AA66" s="295">
        <f t="shared" si="34"/>
        <v>4182</v>
      </c>
      <c r="AB66" s="267">
        <f>AA66+AB24-AB46-3000</f>
        <v>229</v>
      </c>
      <c r="AC66" s="267">
        <f t="shared" ref="AC66:AE66" si="35">AB66+AC24-AC46</f>
        <v>-743</v>
      </c>
      <c r="AD66" s="267">
        <f t="shared" si="35"/>
        <v>-743</v>
      </c>
      <c r="AE66" s="267">
        <f t="shared" si="35"/>
        <v>-743</v>
      </c>
      <c r="AF66" s="7"/>
    </row>
    <row r="67" spans="1:32" ht="12.75">
      <c r="F67" s="178"/>
      <c r="G67" s="178"/>
      <c r="H67" s="268"/>
      <c r="I67" s="896" t="s">
        <v>38</v>
      </c>
      <c r="J67" s="860"/>
      <c r="K67" s="270">
        <f t="shared" ref="K67:AE67" si="36">SUM(K51:K66)</f>
        <v>129874</v>
      </c>
      <c r="L67" s="270">
        <f t="shared" si="36"/>
        <v>150160</v>
      </c>
      <c r="M67" s="270">
        <f t="shared" si="36"/>
        <v>183362</v>
      </c>
      <c r="N67" s="270">
        <f t="shared" si="36"/>
        <v>267173</v>
      </c>
      <c r="O67" s="270">
        <f t="shared" si="36"/>
        <v>293785</v>
      </c>
      <c r="P67" s="270">
        <f t="shared" si="36"/>
        <v>275253</v>
      </c>
      <c r="Q67" s="270">
        <f t="shared" si="36"/>
        <v>268277</v>
      </c>
      <c r="R67" s="270">
        <f t="shared" si="36"/>
        <v>340767.24</v>
      </c>
      <c r="S67" s="270">
        <f t="shared" si="36"/>
        <v>353779</v>
      </c>
      <c r="T67" s="270">
        <f t="shared" si="36"/>
        <v>381969.80000000005</v>
      </c>
      <c r="U67" s="271">
        <f t="shared" si="36"/>
        <v>355111.80000000005</v>
      </c>
      <c r="V67" s="270">
        <f t="shared" si="36"/>
        <v>325435.80000000005</v>
      </c>
      <c r="W67" s="270">
        <f t="shared" si="36"/>
        <v>293846.80000000005</v>
      </c>
      <c r="X67" s="270">
        <f t="shared" si="36"/>
        <v>257576.80000000002</v>
      </c>
      <c r="Y67" s="270">
        <f t="shared" si="36"/>
        <v>219338.80000000002</v>
      </c>
      <c r="Z67" s="270">
        <f t="shared" si="36"/>
        <v>182792.80000000002</v>
      </c>
      <c r="AA67" s="271">
        <f t="shared" si="36"/>
        <v>168690.80000000002</v>
      </c>
      <c r="AB67" s="270">
        <f t="shared" si="36"/>
        <v>130779.8</v>
      </c>
      <c r="AC67" s="270">
        <f t="shared" si="36"/>
        <v>91182.8</v>
      </c>
      <c r="AD67" s="270">
        <f t="shared" si="36"/>
        <v>87882.8</v>
      </c>
      <c r="AE67" s="270">
        <f t="shared" si="36"/>
        <v>84582.8</v>
      </c>
      <c r="AF67" s="7"/>
    </row>
    <row r="68" spans="1:32" ht="12.75">
      <c r="A68" s="178"/>
      <c r="B68" s="178"/>
      <c r="C68" s="249"/>
      <c r="D68" s="178"/>
      <c r="E68" s="178"/>
      <c r="F68" s="178"/>
      <c r="G68" s="178"/>
      <c r="H68" s="273"/>
      <c r="I68" s="273"/>
      <c r="J68" s="273"/>
      <c r="K68" s="183"/>
      <c r="L68" s="183"/>
      <c r="M68" s="183"/>
      <c r="N68" s="183"/>
      <c r="O68" s="183"/>
      <c r="P68" s="183"/>
      <c r="Q68" s="183"/>
      <c r="R68" s="183"/>
      <c r="S68" s="183"/>
      <c r="U68" s="183"/>
      <c r="V68" s="183"/>
      <c r="W68" s="183"/>
      <c r="X68" s="183"/>
      <c r="Y68" s="183"/>
      <c r="AF68" s="7"/>
    </row>
    <row r="69" spans="1:32" ht="12.75">
      <c r="A69" s="178"/>
      <c r="B69" s="178"/>
      <c r="C69" s="178"/>
      <c r="D69" s="178"/>
      <c r="E69" s="178"/>
      <c r="F69" s="178"/>
      <c r="G69" s="178"/>
      <c r="H69" s="180"/>
      <c r="I69" s="180"/>
      <c r="J69" s="180"/>
      <c r="AF69" s="7"/>
    </row>
    <row r="70" spans="1:32" ht="12.75" outlineLevel="1">
      <c r="A70" s="178"/>
      <c r="B70" s="178"/>
      <c r="C70" s="178"/>
      <c r="D70" s="178"/>
      <c r="E70" s="178"/>
      <c r="F70" s="178"/>
      <c r="G70" s="178"/>
      <c r="H70" s="897" t="s">
        <v>56</v>
      </c>
      <c r="I70" s="862"/>
      <c r="J70" s="862"/>
      <c r="K70" s="269" t="s">
        <v>14</v>
      </c>
      <c r="L70" s="269" t="s">
        <v>15</v>
      </c>
      <c r="M70" s="269" t="s">
        <v>16</v>
      </c>
      <c r="N70" s="269" t="s">
        <v>17</v>
      </c>
      <c r="O70" s="269" t="s">
        <v>18</v>
      </c>
      <c r="P70" s="269" t="s">
        <v>19</v>
      </c>
      <c r="Q70" s="269" t="s">
        <v>20</v>
      </c>
      <c r="R70" s="269" t="s">
        <v>21</v>
      </c>
      <c r="S70" s="269" t="s">
        <v>22</v>
      </c>
      <c r="T70" s="269" t="s">
        <v>23</v>
      </c>
      <c r="U70" s="274" t="s">
        <v>107</v>
      </c>
      <c r="V70" s="269" t="s">
        <v>25</v>
      </c>
      <c r="W70" s="269" t="s">
        <v>26</v>
      </c>
      <c r="X70" s="269" t="s">
        <v>15</v>
      </c>
      <c r="Y70" s="269" t="s">
        <v>16</v>
      </c>
      <c r="Z70" s="269" t="s">
        <v>17</v>
      </c>
      <c r="AA70" s="274" t="s">
        <v>18</v>
      </c>
      <c r="AB70" s="253" t="s">
        <v>19</v>
      </c>
      <c r="AC70" s="253" t="s">
        <v>20</v>
      </c>
      <c r="AD70" s="253" t="s">
        <v>21</v>
      </c>
      <c r="AE70" s="253" t="s">
        <v>22</v>
      </c>
      <c r="AF70" s="7"/>
    </row>
    <row r="71" spans="1:32" ht="12.75" outlineLevel="1">
      <c r="A71" s="178"/>
      <c r="B71" s="178"/>
      <c r="C71" s="178"/>
      <c r="D71" s="178"/>
      <c r="E71" s="178"/>
      <c r="F71" s="178"/>
      <c r="G71" s="178"/>
      <c r="H71" s="912" t="s">
        <v>57</v>
      </c>
      <c r="I71" s="891" t="s">
        <v>27</v>
      </c>
      <c r="J71" s="190" t="s">
        <v>110</v>
      </c>
      <c r="K71" s="136">
        <f t="shared" ref="K71:AE71" si="37">K51/K31</f>
        <v>5.7098591549295774</v>
      </c>
      <c r="L71" s="136">
        <f t="shared" si="37"/>
        <v>7.324435318275154</v>
      </c>
      <c r="M71" s="136">
        <f t="shared" si="37"/>
        <v>5.4881516587677721</v>
      </c>
      <c r="N71" s="136">
        <f t="shared" si="37"/>
        <v>4.2859154929577468</v>
      </c>
      <c r="O71" s="136">
        <f t="shared" si="37"/>
        <v>3.2477558348294435</v>
      </c>
      <c r="P71" s="136">
        <f t="shared" si="37"/>
        <v>10.903553299492385</v>
      </c>
      <c r="Q71" s="136">
        <f t="shared" si="37"/>
        <v>14.30379746835443</v>
      </c>
      <c r="R71" s="136">
        <f t="shared" si="37"/>
        <v>16.828571428571429</v>
      </c>
      <c r="S71" s="136">
        <f t="shared" si="37"/>
        <v>43.61904761904762</v>
      </c>
      <c r="T71" s="136">
        <f t="shared" si="37"/>
        <v>24.946099290780143</v>
      </c>
      <c r="U71" s="137">
        <f t="shared" si="37"/>
        <v>21.840259740259739</v>
      </c>
      <c r="V71" s="136">
        <f t="shared" si="37"/>
        <v>21.573154362416108</v>
      </c>
      <c r="W71" s="136">
        <f t="shared" si="37"/>
        <v>19.473885350318472</v>
      </c>
      <c r="X71" s="136">
        <f t="shared" si="37"/>
        <v>17.091124260355031</v>
      </c>
      <c r="Y71" s="136">
        <f t="shared" si="37"/>
        <v>13.736734693877551</v>
      </c>
      <c r="Z71" s="136">
        <f t="shared" si="37"/>
        <v>11.019642857142857</v>
      </c>
      <c r="AA71" s="137">
        <f t="shared" si="37"/>
        <v>8.8735999999999997</v>
      </c>
      <c r="AB71" s="136">
        <f t="shared" si="37"/>
        <v>7.1260073260073264</v>
      </c>
      <c r="AC71" s="136">
        <f t="shared" si="37"/>
        <v>5.7314878892733567</v>
      </c>
      <c r="AD71" s="136" t="e">
        <f t="shared" si="37"/>
        <v>#DIV/0!</v>
      </c>
      <c r="AE71" s="136" t="e">
        <f t="shared" si="37"/>
        <v>#DIV/0!</v>
      </c>
      <c r="AF71" s="7"/>
    </row>
    <row r="72" spans="1:32" ht="12.75" outlineLevel="1">
      <c r="A72" s="178"/>
      <c r="B72" s="178"/>
      <c r="C72" s="178"/>
      <c r="D72" s="178"/>
      <c r="E72" s="178"/>
      <c r="F72" s="178"/>
      <c r="G72" s="178"/>
      <c r="H72" s="865"/>
      <c r="I72" s="865"/>
      <c r="J72" s="190">
        <v>1</v>
      </c>
      <c r="K72" s="136">
        <f t="shared" ref="K72:AE72" si="38">K52/K32</f>
        <v>0.61338991041961344</v>
      </c>
      <c r="L72" s="136">
        <f t="shared" si="38"/>
        <v>0</v>
      </c>
      <c r="M72" s="136">
        <f t="shared" si="38"/>
        <v>1.4469525959367946</v>
      </c>
      <c r="N72" s="136">
        <f t="shared" si="38"/>
        <v>2.8421658986175116</v>
      </c>
      <c r="O72" s="136">
        <f t="shared" si="38"/>
        <v>3.5950029052876236</v>
      </c>
      <c r="P72" s="136">
        <f t="shared" si="38"/>
        <v>11.243440233236152</v>
      </c>
      <c r="Q72" s="136">
        <f t="shared" si="38"/>
        <v>12.853115727002967</v>
      </c>
      <c r="R72" s="136">
        <f t="shared" si="38"/>
        <v>9.7776137761377608</v>
      </c>
      <c r="S72" s="136">
        <f t="shared" si="38"/>
        <v>14.594377510040161</v>
      </c>
      <c r="T72" s="136">
        <f t="shared" si="38"/>
        <v>13.024570446735396</v>
      </c>
      <c r="U72" s="137">
        <f t="shared" si="38"/>
        <v>11.649645390070923</v>
      </c>
      <c r="V72" s="136">
        <f t="shared" si="38"/>
        <v>10.534159438248659</v>
      </c>
      <c r="W72" s="136">
        <f t="shared" si="38"/>
        <v>9.329364115026328</v>
      </c>
      <c r="X72" s="136">
        <f t="shared" si="38"/>
        <v>8.0543238993710702</v>
      </c>
      <c r="Y72" s="136">
        <f t="shared" si="38"/>
        <v>6.5974045235446805</v>
      </c>
      <c r="Z72" s="136">
        <f t="shared" si="38"/>
        <v>5.2829096045197748</v>
      </c>
      <c r="AA72" s="137">
        <f t="shared" si="38"/>
        <v>4.0784792939579102</v>
      </c>
      <c r="AB72" s="136">
        <f t="shared" si="38"/>
        <v>2.9614902736564468</v>
      </c>
      <c r="AC72" s="136">
        <f t="shared" si="38"/>
        <v>1.9040413837698036</v>
      </c>
      <c r="AD72" s="136" t="e">
        <f t="shared" si="38"/>
        <v>#DIV/0!</v>
      </c>
      <c r="AE72" s="136" t="e">
        <f t="shared" si="38"/>
        <v>#DIV/0!</v>
      </c>
      <c r="AF72" s="7"/>
    </row>
    <row r="73" spans="1:32" ht="12.75" outlineLevel="1">
      <c r="A73" s="178"/>
      <c r="B73" s="178"/>
      <c r="C73" s="178"/>
      <c r="D73" s="178"/>
      <c r="E73" s="178"/>
      <c r="F73" s="178"/>
      <c r="G73" s="178"/>
      <c r="H73" s="865"/>
      <c r="I73" s="865"/>
      <c r="J73" s="190" t="s">
        <v>119</v>
      </c>
      <c r="K73" s="136">
        <f t="shared" ref="K73:AE73" si="39">K53/K33</f>
        <v>5.3204144282425174</v>
      </c>
      <c r="L73" s="136">
        <f t="shared" si="39"/>
        <v>5.7006704980842908</v>
      </c>
      <c r="M73" s="136">
        <f t="shared" si="39"/>
        <v>5.6898876404494381</v>
      </c>
      <c r="N73" s="136">
        <f t="shared" si="39"/>
        <v>4.7923340961098395</v>
      </c>
      <c r="O73" s="136">
        <f t="shared" si="39"/>
        <v>10.0491452991453</v>
      </c>
      <c r="P73" s="136">
        <f t="shared" si="39"/>
        <v>0</v>
      </c>
      <c r="Q73" s="136">
        <f t="shared" si="39"/>
        <v>0</v>
      </c>
      <c r="R73" s="136">
        <f t="shared" si="39"/>
        <v>-2.6666666666666668E-4</v>
      </c>
      <c r="S73" s="136">
        <f t="shared" si="39"/>
        <v>21.299663299663301</v>
      </c>
      <c r="T73" s="136">
        <f t="shared" si="39"/>
        <v>22.284803921568624</v>
      </c>
      <c r="U73" s="137">
        <f t="shared" si="39"/>
        <v>17.093930348258706</v>
      </c>
      <c r="V73" s="136">
        <f t="shared" si="39"/>
        <v>13.873939393939393</v>
      </c>
      <c r="W73" s="136">
        <f t="shared" si="39"/>
        <v>7.9621923937360171</v>
      </c>
      <c r="X73" s="136">
        <f t="shared" si="39"/>
        <v>5.5726685133887344</v>
      </c>
      <c r="Y73" s="136">
        <f t="shared" si="39"/>
        <v>4.2117443868739199</v>
      </c>
      <c r="Z73" s="136">
        <f t="shared" si="39"/>
        <v>3.0898951781970645</v>
      </c>
      <c r="AA73" s="137">
        <f t="shared" si="39"/>
        <v>2.3558287795992707</v>
      </c>
      <c r="AB73" s="136">
        <f t="shared" si="39"/>
        <v>1.3116175156389629</v>
      </c>
      <c r="AC73" s="136">
        <f t="shared" si="39"/>
        <v>8.3573274270948225E-2</v>
      </c>
      <c r="AD73" s="136" t="e">
        <f t="shared" si="39"/>
        <v>#DIV/0!</v>
      </c>
      <c r="AE73" s="136" t="e">
        <f t="shared" si="39"/>
        <v>#DIV/0!</v>
      </c>
      <c r="AF73" s="7"/>
    </row>
    <row r="74" spans="1:32" ht="12.75" outlineLevel="1">
      <c r="A74" s="178"/>
      <c r="B74" s="178"/>
      <c r="C74" s="178"/>
      <c r="D74" s="178"/>
      <c r="E74" s="178"/>
      <c r="F74" s="178"/>
      <c r="G74" s="178"/>
      <c r="H74" s="865"/>
      <c r="I74" s="865"/>
      <c r="J74" s="190">
        <v>2</v>
      </c>
      <c r="K74" s="136">
        <f t="shared" ref="K74:AE74" si="40">K54/K34</f>
        <v>4.6736111111111107</v>
      </c>
      <c r="L74" s="136">
        <f t="shared" si="40"/>
        <v>4.3784000000000001</v>
      </c>
      <c r="M74" s="136">
        <f t="shared" si="40"/>
        <v>2.3857383492419988</v>
      </c>
      <c r="N74" s="136">
        <f t="shared" si="40"/>
        <v>1.5913255956017105</v>
      </c>
      <c r="O74" s="136">
        <f t="shared" si="40"/>
        <v>1.2612419700214133</v>
      </c>
      <c r="P74" s="136">
        <f t="shared" si="40"/>
        <v>2.874265569917744</v>
      </c>
      <c r="Q74" s="136">
        <f t="shared" si="40"/>
        <v>2.4641805691854759</v>
      </c>
      <c r="R74" s="136">
        <f t="shared" si="40"/>
        <v>0.82212786034442087</v>
      </c>
      <c r="S74" s="136">
        <f t="shared" si="40"/>
        <v>5.7226765799256505</v>
      </c>
      <c r="T74" s="136">
        <f t="shared" si="40"/>
        <v>5.9291438979963571</v>
      </c>
      <c r="U74" s="137">
        <f t="shared" si="40"/>
        <v>4.7561450044208664</v>
      </c>
      <c r="V74" s="136">
        <f t="shared" si="40"/>
        <v>3.6613518197573653</v>
      </c>
      <c r="W74" s="136">
        <f t="shared" si="40"/>
        <v>2.5898045879354288</v>
      </c>
      <c r="X74" s="136">
        <f t="shared" si="40"/>
        <v>1.4444266238973535</v>
      </c>
      <c r="Y74" s="136">
        <f t="shared" si="40"/>
        <v>0.38874325366229745</v>
      </c>
      <c r="Z74" s="136">
        <f t="shared" si="40"/>
        <v>-0.62260479041916184</v>
      </c>
      <c r="AA74" s="137">
        <f t="shared" si="40"/>
        <v>-1.6287226001511717</v>
      </c>
      <c r="AB74" s="136">
        <f t="shared" si="40"/>
        <v>-2.6795011691348405</v>
      </c>
      <c r="AC74" s="136">
        <f t="shared" si="40"/>
        <v>-3.3307118644067799</v>
      </c>
      <c r="AD74" s="136" t="e">
        <f t="shared" si="40"/>
        <v>#DIV/0!</v>
      </c>
      <c r="AE74" s="136" t="e">
        <f t="shared" si="40"/>
        <v>#DIV/0!</v>
      </c>
      <c r="AF74" s="7"/>
    </row>
    <row r="75" spans="1:32" ht="12.75" outlineLevel="1">
      <c r="A75" s="178"/>
      <c r="B75" s="178"/>
      <c r="C75" s="178"/>
      <c r="D75" s="178"/>
      <c r="E75" s="178"/>
      <c r="F75" s="178"/>
      <c r="G75" s="178"/>
      <c r="H75" s="865"/>
      <c r="I75" s="865"/>
      <c r="J75" s="190" t="s">
        <v>124</v>
      </c>
      <c r="K75" s="136">
        <f t="shared" ref="K75:AE75" si="41">K55/K35</f>
        <v>5.7105772956218521</v>
      </c>
      <c r="L75" s="136">
        <f t="shared" si="41"/>
        <v>5.5870624723083742</v>
      </c>
      <c r="M75" s="136">
        <f t="shared" si="41"/>
        <v>5.5256078634247281</v>
      </c>
      <c r="N75" s="136">
        <f t="shared" si="41"/>
        <v>3.7746982565936524</v>
      </c>
      <c r="O75" s="136">
        <f t="shared" si="41"/>
        <v>7.0178571428571432</v>
      </c>
      <c r="P75" s="136">
        <f t="shared" si="41"/>
        <v>12.637376237623762</v>
      </c>
      <c r="Q75" s="136">
        <f t="shared" si="41"/>
        <v>16.779538904899134</v>
      </c>
      <c r="R75" s="136">
        <f t="shared" si="41"/>
        <v>17.299475890985327</v>
      </c>
      <c r="S75" s="136">
        <f t="shared" si="41"/>
        <v>37.660472972972975</v>
      </c>
      <c r="T75" s="136">
        <f t="shared" si="41"/>
        <v>46.156944444444449</v>
      </c>
      <c r="U75" s="137">
        <f t="shared" si="41"/>
        <v>42.159740259740261</v>
      </c>
      <c r="V75" s="136">
        <f t="shared" si="41"/>
        <v>38.770903522205209</v>
      </c>
      <c r="W75" s="136">
        <f t="shared" si="41"/>
        <v>23.227177033492826</v>
      </c>
      <c r="X75" s="136">
        <f t="shared" si="41"/>
        <v>16.7300219138057</v>
      </c>
      <c r="Y75" s="136">
        <f t="shared" si="41"/>
        <v>13.805042016806723</v>
      </c>
      <c r="Z75" s="136">
        <f t="shared" si="41"/>
        <v>12.397992471769134</v>
      </c>
      <c r="AA75" s="137">
        <f t="shared" si="41"/>
        <v>12.48049113233288</v>
      </c>
      <c r="AB75" s="136">
        <f t="shared" si="41"/>
        <v>11.732359081419625</v>
      </c>
      <c r="AC75" s="136">
        <f t="shared" si="41"/>
        <v>9.3814039408867007</v>
      </c>
      <c r="AD75" s="136" t="e">
        <f t="shared" si="41"/>
        <v>#DIV/0!</v>
      </c>
      <c r="AE75" s="136" t="e">
        <f t="shared" si="41"/>
        <v>#DIV/0!</v>
      </c>
      <c r="AF75" s="7"/>
    </row>
    <row r="76" spans="1:32" ht="12.75" outlineLevel="1">
      <c r="A76" s="178"/>
      <c r="B76" s="178"/>
      <c r="C76" s="178"/>
      <c r="D76" s="178"/>
      <c r="E76" s="178"/>
      <c r="F76" s="178"/>
      <c r="G76" s="178"/>
      <c r="H76" s="865"/>
      <c r="I76" s="866"/>
      <c r="J76" s="190">
        <v>3</v>
      </c>
      <c r="K76" s="136">
        <f t="shared" ref="K76:AE76" si="42">K56/K36</f>
        <v>4.3348281016442454E-2</v>
      </c>
      <c r="L76" s="136">
        <f t="shared" si="42"/>
        <v>0</v>
      </c>
      <c r="M76" s="136">
        <f t="shared" si="42"/>
        <v>2.7726218097447797</v>
      </c>
      <c r="N76" s="136">
        <f t="shared" si="42"/>
        <v>1.4235880398671097</v>
      </c>
      <c r="O76" s="136">
        <f t="shared" si="42"/>
        <v>0.53309481216457966</v>
      </c>
      <c r="P76" s="136">
        <f t="shared" si="42"/>
        <v>6.3529411764705879</v>
      </c>
      <c r="Q76" s="136">
        <f t="shared" si="42"/>
        <v>0.80808080808080807</v>
      </c>
      <c r="R76" s="136">
        <f t="shared" si="42"/>
        <v>0</v>
      </c>
      <c r="S76" s="136">
        <f t="shared" si="42"/>
        <v>19.399999999999999</v>
      </c>
      <c r="T76" s="136">
        <f t="shared" si="42"/>
        <v>18.549476831091184</v>
      </c>
      <c r="U76" s="137">
        <f t="shared" si="42"/>
        <v>16.984927536231886</v>
      </c>
      <c r="V76" s="136">
        <f t="shared" si="42"/>
        <v>15.694586894586896</v>
      </c>
      <c r="W76" s="136">
        <f t="shared" si="42"/>
        <v>14.366248256624827</v>
      </c>
      <c r="X76" s="136">
        <f t="shared" si="42"/>
        <v>12.957452574525748</v>
      </c>
      <c r="Y76" s="136">
        <f t="shared" si="42"/>
        <v>11.354780361757108</v>
      </c>
      <c r="Z76" s="136">
        <f t="shared" si="42"/>
        <v>9.8904584882280062</v>
      </c>
      <c r="AA76" s="137">
        <f t="shared" si="42"/>
        <v>8.4345153664302615</v>
      </c>
      <c r="AB76" s="136">
        <f t="shared" si="42"/>
        <v>6.9549609810479387</v>
      </c>
      <c r="AC76" s="136">
        <f t="shared" si="42"/>
        <v>5.7517316017316027</v>
      </c>
      <c r="AD76" s="136" t="e">
        <f t="shared" si="42"/>
        <v>#DIV/0!</v>
      </c>
      <c r="AE76" s="136" t="e">
        <f t="shared" si="42"/>
        <v>#DIV/0!</v>
      </c>
      <c r="AF76" s="7"/>
    </row>
    <row r="77" spans="1:32" ht="12.75" outlineLevel="1">
      <c r="A77" s="178"/>
      <c r="B77" s="178"/>
      <c r="C77" s="178"/>
      <c r="D77" s="178"/>
      <c r="E77" s="178"/>
      <c r="F77" s="178"/>
      <c r="G77" s="178"/>
      <c r="H77" s="865"/>
      <c r="I77" s="892" t="s">
        <v>32</v>
      </c>
      <c r="J77" s="205" t="s">
        <v>110</v>
      </c>
      <c r="K77" s="136">
        <f t="shared" ref="K77:AE77" si="43">K57/K37</f>
        <v>1.3580718414533444</v>
      </c>
      <c r="L77" s="136">
        <f t="shared" si="43"/>
        <v>2.2514019806705643</v>
      </c>
      <c r="M77" s="136">
        <f t="shared" si="43"/>
        <v>1.7703956085557448</v>
      </c>
      <c r="N77" s="136">
        <f t="shared" si="43"/>
        <v>2.5280221957986524</v>
      </c>
      <c r="O77" s="136">
        <f t="shared" si="43"/>
        <v>3.255698625369758</v>
      </c>
      <c r="P77" s="136">
        <f t="shared" si="43"/>
        <v>7.2572767636901823</v>
      </c>
      <c r="Q77" s="136">
        <f t="shared" si="43"/>
        <v>10.766051364365971</v>
      </c>
      <c r="R77" s="136">
        <f t="shared" si="43"/>
        <v>22.539265536723164</v>
      </c>
      <c r="S77" s="136">
        <f t="shared" si="43"/>
        <v>20.113734750098388</v>
      </c>
      <c r="T77" s="136">
        <f t="shared" si="43"/>
        <v>18.974060055513501</v>
      </c>
      <c r="U77" s="137">
        <f t="shared" si="43"/>
        <v>16.406064814814815</v>
      </c>
      <c r="V77" s="136">
        <f t="shared" si="43"/>
        <v>14.930366374466173</v>
      </c>
      <c r="W77" s="136">
        <f t="shared" si="43"/>
        <v>13.354446245272825</v>
      </c>
      <c r="X77" s="136">
        <f t="shared" si="43"/>
        <v>11.598919469928644</v>
      </c>
      <c r="Y77" s="136">
        <f t="shared" si="43"/>
        <v>9.7385239713099292</v>
      </c>
      <c r="Z77" s="136">
        <f t="shared" si="43"/>
        <v>8.3646791904891558</v>
      </c>
      <c r="AA77" s="137">
        <f t="shared" si="43"/>
        <v>7.1214556348576972</v>
      </c>
      <c r="AB77" s="136">
        <f t="shared" si="43"/>
        <v>5.9149041752224507</v>
      </c>
      <c r="AC77" s="136">
        <f t="shared" si="43"/>
        <v>4.7988089246770675</v>
      </c>
      <c r="AD77" s="136" t="e">
        <f t="shared" si="43"/>
        <v>#DIV/0!</v>
      </c>
      <c r="AE77" s="136" t="e">
        <f t="shared" si="43"/>
        <v>#DIV/0!</v>
      </c>
      <c r="AF77" s="7"/>
    </row>
    <row r="78" spans="1:32" ht="12.75" outlineLevel="1">
      <c r="A78" s="178"/>
      <c r="B78" s="178"/>
      <c r="C78" s="178"/>
      <c r="D78" s="178"/>
      <c r="E78" s="178"/>
      <c r="F78" s="178"/>
      <c r="G78" s="178"/>
      <c r="H78" s="865"/>
      <c r="I78" s="865"/>
      <c r="J78" s="205">
        <v>1</v>
      </c>
      <c r="K78" s="136">
        <f t="shared" ref="K78:AE78" si="44">K58/K38</f>
        <v>2.5324308755760367</v>
      </c>
      <c r="L78" s="136">
        <f t="shared" si="44"/>
        <v>2.0801901743264661</v>
      </c>
      <c r="M78" s="136">
        <f t="shared" si="44"/>
        <v>1.5043729149761067</v>
      </c>
      <c r="N78" s="136">
        <f t="shared" si="44"/>
        <v>3.3939143190280965</v>
      </c>
      <c r="O78" s="136">
        <f t="shared" si="44"/>
        <v>4.128608805485384</v>
      </c>
      <c r="P78" s="136">
        <f t="shared" si="44"/>
        <v>8.2584061424410908</v>
      </c>
      <c r="Q78" s="136">
        <f t="shared" si="44"/>
        <v>11.640268729641694</v>
      </c>
      <c r="R78" s="136">
        <f t="shared" si="44"/>
        <v>16.936185969965027</v>
      </c>
      <c r="S78" s="136">
        <f t="shared" si="44"/>
        <v>15.549360511590727</v>
      </c>
      <c r="T78" s="136">
        <f t="shared" si="44"/>
        <v>16.984348767939345</v>
      </c>
      <c r="U78" s="137">
        <f t="shared" si="44"/>
        <v>15.330977022716917</v>
      </c>
      <c r="V78" s="136">
        <f t="shared" si="44"/>
        <v>13.883399684044234</v>
      </c>
      <c r="W78" s="136">
        <f t="shared" si="44"/>
        <v>12.612441140024783</v>
      </c>
      <c r="X78" s="136">
        <f t="shared" si="44"/>
        <v>11.364237123420796</v>
      </c>
      <c r="Y78" s="136">
        <f t="shared" si="44"/>
        <v>9.9281467204018465</v>
      </c>
      <c r="Z78" s="136">
        <f t="shared" si="44"/>
        <v>8.5467452962650938</v>
      </c>
      <c r="AA78" s="137">
        <f t="shared" si="44"/>
        <v>7.3787468340491138</v>
      </c>
      <c r="AB78" s="136">
        <f t="shared" si="44"/>
        <v>6.1633953388924523</v>
      </c>
      <c r="AC78" s="136">
        <f t="shared" si="44"/>
        <v>4.9839535004411228</v>
      </c>
      <c r="AD78" s="136" t="e">
        <f t="shared" si="44"/>
        <v>#DIV/0!</v>
      </c>
      <c r="AE78" s="136" t="e">
        <f t="shared" si="44"/>
        <v>#DIV/0!</v>
      </c>
      <c r="AF78" s="7"/>
    </row>
    <row r="79" spans="1:32" ht="12.75" outlineLevel="1">
      <c r="A79" s="178"/>
      <c r="B79" s="178"/>
      <c r="C79" s="178"/>
      <c r="D79" s="178"/>
      <c r="E79" s="178"/>
      <c r="F79" s="178"/>
      <c r="G79" s="178"/>
      <c r="H79" s="865"/>
      <c r="I79" s="865"/>
      <c r="J79" s="205">
        <v>2</v>
      </c>
      <c r="K79" s="136">
        <f t="shared" ref="K79:AE79" si="45">K59/K39</f>
        <v>1.3641406856762455</v>
      </c>
      <c r="L79" s="136">
        <f t="shared" si="45"/>
        <v>3.4973684210526317</v>
      </c>
      <c r="M79" s="136">
        <f t="shared" si="45"/>
        <v>3.2350990525409129</v>
      </c>
      <c r="N79" s="136">
        <f t="shared" si="45"/>
        <v>3.1058631921824102</v>
      </c>
      <c r="O79" s="136">
        <f t="shared" si="45"/>
        <v>4.0245026571979494</v>
      </c>
      <c r="P79" s="136">
        <f t="shared" si="45"/>
        <v>12.501232539030402</v>
      </c>
      <c r="Q79" s="136">
        <f t="shared" si="45"/>
        <v>14.052391187533583</v>
      </c>
      <c r="R79" s="136">
        <f t="shared" si="45"/>
        <v>18.155981351981353</v>
      </c>
      <c r="S79" s="136">
        <f t="shared" si="45"/>
        <v>13.333705108186482</v>
      </c>
      <c r="T79" s="136">
        <f t="shared" si="45"/>
        <v>14.685878432724348</v>
      </c>
      <c r="U79" s="137">
        <f t="shared" si="45"/>
        <v>12.598382806681562</v>
      </c>
      <c r="V79" s="136">
        <f t="shared" si="45"/>
        <v>10.998399027257067</v>
      </c>
      <c r="W79" s="136">
        <f t="shared" si="45"/>
        <v>9.474109813760494</v>
      </c>
      <c r="X79" s="136">
        <f t="shared" si="45"/>
        <v>8.1101605270483432</v>
      </c>
      <c r="Y79" s="136">
        <f t="shared" si="45"/>
        <v>6.6508403361344532</v>
      </c>
      <c r="Z79" s="136">
        <f t="shared" si="45"/>
        <v>5.3950172544398614</v>
      </c>
      <c r="AA79" s="137">
        <f t="shared" si="45"/>
        <v>4.2380648851842766</v>
      </c>
      <c r="AB79" s="136">
        <f t="shared" si="45"/>
        <v>3.1548790257971477</v>
      </c>
      <c r="AC79" s="136">
        <f t="shared" si="45"/>
        <v>2.0630989421281889</v>
      </c>
      <c r="AD79" s="136" t="e">
        <f t="shared" si="45"/>
        <v>#DIV/0!</v>
      </c>
      <c r="AE79" s="136" t="e">
        <f t="shared" si="45"/>
        <v>#DIV/0!</v>
      </c>
      <c r="AF79" s="7"/>
    </row>
    <row r="80" spans="1:32" ht="12.75" outlineLevel="1">
      <c r="A80" s="178"/>
      <c r="B80" s="178"/>
      <c r="C80" s="178"/>
      <c r="D80" s="178"/>
      <c r="E80" s="178"/>
      <c r="F80" s="178"/>
      <c r="G80" s="178"/>
      <c r="H80" s="865"/>
      <c r="I80" s="866"/>
      <c r="J80" s="205" t="s">
        <v>131</v>
      </c>
      <c r="K80" s="136">
        <f t="shared" ref="K80:AE80" si="46">K60/K40</f>
        <v>1.9362186788154898</v>
      </c>
      <c r="L80" s="136">
        <f t="shared" si="46"/>
        <v>3.0849731663685152</v>
      </c>
      <c r="M80" s="136">
        <f t="shared" si="46"/>
        <v>2.8703774304231797</v>
      </c>
      <c r="N80" s="136">
        <f t="shared" si="46"/>
        <v>4.4257590924257588</v>
      </c>
      <c r="O80" s="136">
        <f t="shared" si="46"/>
        <v>5.6305457400863759</v>
      </c>
      <c r="P80" s="136">
        <f t="shared" si="46"/>
        <v>11.118906942392909</v>
      </c>
      <c r="Q80" s="136">
        <f t="shared" si="46"/>
        <v>13.20724191063174</v>
      </c>
      <c r="R80" s="136">
        <f t="shared" si="46"/>
        <v>14.362243797195253</v>
      </c>
      <c r="S80" s="136">
        <f t="shared" si="46"/>
        <v>11.40125173852573</v>
      </c>
      <c r="T80" s="136">
        <f t="shared" si="46"/>
        <v>12.009803921568627</v>
      </c>
      <c r="U80" s="137">
        <f t="shared" si="46"/>
        <v>10.659263959390863</v>
      </c>
      <c r="V80" s="136">
        <f t="shared" si="46"/>
        <v>9.4536403235843185</v>
      </c>
      <c r="W80" s="136">
        <f t="shared" si="46"/>
        <v>8.2634146341463417</v>
      </c>
      <c r="X80" s="136">
        <f t="shared" si="46"/>
        <v>7.1052631578947372</v>
      </c>
      <c r="Y80" s="136">
        <f t="shared" si="46"/>
        <v>5.6405813303521519</v>
      </c>
      <c r="Z80" s="136">
        <f t="shared" si="46"/>
        <v>4.2203828246249353</v>
      </c>
      <c r="AA80" s="137">
        <f t="shared" si="46"/>
        <v>3.0974384731290807</v>
      </c>
      <c r="AB80" s="136">
        <f t="shared" si="46"/>
        <v>2.0082926829268293</v>
      </c>
      <c r="AC80" s="136">
        <f t="shared" si="46"/>
        <v>0.94933712121212122</v>
      </c>
      <c r="AD80" s="136" t="e">
        <f t="shared" si="46"/>
        <v>#DIV/0!</v>
      </c>
      <c r="AE80" s="136" t="e">
        <f t="shared" si="46"/>
        <v>#DIV/0!</v>
      </c>
      <c r="AF80" s="7"/>
    </row>
    <row r="81" spans="1:32" ht="12.75" outlineLevel="1">
      <c r="A81" s="178"/>
      <c r="B81" s="178"/>
      <c r="C81" s="178"/>
      <c r="D81" s="178"/>
      <c r="E81" s="178"/>
      <c r="F81" s="178"/>
      <c r="G81" s="178"/>
      <c r="H81" s="865"/>
      <c r="I81" s="893" t="s">
        <v>132</v>
      </c>
      <c r="J81" s="210" t="s">
        <v>133</v>
      </c>
      <c r="K81" s="136">
        <f t="shared" ref="K81:AE81" si="47">K61/K41</f>
        <v>7.975903614457831</v>
      </c>
      <c r="L81" s="136">
        <f t="shared" si="47"/>
        <v>5.6413043478260869</v>
      </c>
      <c r="M81" s="136">
        <f t="shared" si="47"/>
        <v>5.1422924901185771</v>
      </c>
      <c r="N81" s="136">
        <f t="shared" si="47"/>
        <v>3.6780575539568345</v>
      </c>
      <c r="O81" s="136">
        <f t="shared" si="47"/>
        <v>1.7412868632707774</v>
      </c>
      <c r="P81" s="136">
        <f t="shared" si="47"/>
        <v>2.6694915254237288</v>
      </c>
      <c r="Q81" s="136">
        <f t="shared" si="47"/>
        <v>3.0042372881355934</v>
      </c>
      <c r="R81" s="136">
        <f t="shared" si="47"/>
        <v>2.015229885057471</v>
      </c>
      <c r="S81" s="136">
        <f t="shared" si="47"/>
        <v>1.1880733944954129</v>
      </c>
      <c r="T81" s="136">
        <f t="shared" si="47"/>
        <v>16.940983606557378</v>
      </c>
      <c r="U81" s="137">
        <f t="shared" si="47"/>
        <v>15.578609625668449</v>
      </c>
      <c r="V81" s="136">
        <f t="shared" si="47"/>
        <v>14.172916666666666</v>
      </c>
      <c r="W81" s="136">
        <f t="shared" si="47"/>
        <v>12.743434343434343</v>
      </c>
      <c r="X81" s="136">
        <f t="shared" si="47"/>
        <v>11.49108910891089</v>
      </c>
      <c r="Y81" s="136">
        <f t="shared" si="47"/>
        <v>10.159615384615384</v>
      </c>
      <c r="Z81" s="136">
        <f t="shared" si="47"/>
        <v>8.9679245283018858</v>
      </c>
      <c r="AA81" s="137">
        <f t="shared" si="47"/>
        <v>7.8018518518518514</v>
      </c>
      <c r="AB81" s="136">
        <f t="shared" si="47"/>
        <v>6.6253393665158367</v>
      </c>
      <c r="AC81" s="136">
        <f t="shared" si="47"/>
        <v>5.5075555555555544</v>
      </c>
      <c r="AD81" s="136" t="e">
        <f t="shared" si="47"/>
        <v>#DIV/0!</v>
      </c>
      <c r="AE81" s="136" t="e">
        <f t="shared" si="47"/>
        <v>#DIV/0!</v>
      </c>
      <c r="AF81" s="7"/>
    </row>
    <row r="82" spans="1:32" ht="12.75" outlineLevel="1">
      <c r="A82" s="178"/>
      <c r="B82" s="178"/>
      <c r="C82" s="178"/>
      <c r="D82" s="178"/>
      <c r="E82" s="178"/>
      <c r="F82" s="178"/>
      <c r="G82" s="178"/>
      <c r="H82" s="865"/>
      <c r="I82" s="866"/>
      <c r="J82" s="210" t="s">
        <v>134</v>
      </c>
      <c r="K82" s="136">
        <f t="shared" ref="K82:AE82" si="48">K62/K42</f>
        <v>3.1494252873563218</v>
      </c>
      <c r="L82" s="136">
        <f t="shared" si="48"/>
        <v>3.3492063492063493</v>
      </c>
      <c r="M82" s="136">
        <f t="shared" si="48"/>
        <v>10.868852459016393</v>
      </c>
      <c r="N82" s="136">
        <f t="shared" si="48"/>
        <v>10.549504950495049</v>
      </c>
      <c r="O82" s="136">
        <f t="shared" si="48"/>
        <v>8.8657407407407405</v>
      </c>
      <c r="P82" s="136">
        <f t="shared" si="48"/>
        <v>7.2543103448275863</v>
      </c>
      <c r="Q82" s="136">
        <f t="shared" si="48"/>
        <v>14.3</v>
      </c>
      <c r="R82" s="136">
        <f t="shared" si="48"/>
        <v>7.232312925170068</v>
      </c>
      <c r="S82" s="136">
        <f t="shared" si="48"/>
        <v>5.8168316831683171</v>
      </c>
      <c r="T82" s="136">
        <f t="shared" si="48"/>
        <v>4.5137071651090341</v>
      </c>
      <c r="U82" s="137">
        <f t="shared" si="48"/>
        <v>3.293037037037037</v>
      </c>
      <c r="V82" s="136">
        <f t="shared" si="48"/>
        <v>2.2075036075036074</v>
      </c>
      <c r="W82" s="136">
        <f t="shared" si="48"/>
        <v>1.1607344632768359</v>
      </c>
      <c r="X82" s="136">
        <f t="shared" si="48"/>
        <v>0.13665283540802192</v>
      </c>
      <c r="Y82" s="136">
        <f t="shared" si="48"/>
        <v>-0.86612466124661269</v>
      </c>
      <c r="Z82" s="136">
        <f t="shared" si="48"/>
        <v>2.1670650730411682</v>
      </c>
      <c r="AA82" s="137">
        <f t="shared" si="48"/>
        <v>1.1247395833333331</v>
      </c>
      <c r="AB82" s="136">
        <f t="shared" si="48"/>
        <v>0.10319284802043402</v>
      </c>
      <c r="AC82" s="136">
        <f t="shared" si="48"/>
        <v>-0.8995024875621892</v>
      </c>
      <c r="AD82" s="136" t="e">
        <f t="shared" si="48"/>
        <v>#DIV/0!</v>
      </c>
      <c r="AE82" s="136" t="e">
        <f t="shared" si="48"/>
        <v>#DIV/0!</v>
      </c>
      <c r="AF82" s="7"/>
    </row>
    <row r="83" spans="1:32" ht="12.75" outlineLevel="1">
      <c r="A83" s="178"/>
      <c r="B83" s="178"/>
      <c r="C83" s="178"/>
      <c r="D83" s="178"/>
      <c r="E83" s="178"/>
      <c r="F83" s="178"/>
      <c r="G83" s="178"/>
      <c r="H83" s="865"/>
      <c r="I83" s="895" t="s">
        <v>135</v>
      </c>
      <c r="J83" s="217" t="s">
        <v>136</v>
      </c>
      <c r="K83" s="136"/>
      <c r="L83" s="136"/>
      <c r="M83" s="136"/>
      <c r="N83" s="136"/>
      <c r="O83" s="136">
        <f t="shared" ref="O83:AE83" si="49">O63/O43</f>
        <v>11.490671641791044</v>
      </c>
      <c r="P83" s="136">
        <f t="shared" si="49"/>
        <v>22.541071428571428</v>
      </c>
      <c r="Q83" s="136">
        <f t="shared" si="49"/>
        <v>39.458333333333336</v>
      </c>
      <c r="R83" s="136">
        <f t="shared" si="49"/>
        <v>34.160919540229884</v>
      </c>
      <c r="S83" s="136">
        <f t="shared" si="49"/>
        <v>26.950934579439252</v>
      </c>
      <c r="T83" s="136">
        <f t="shared" si="49"/>
        <v>13.359691417550627</v>
      </c>
      <c r="U83" s="137">
        <f t="shared" si="49"/>
        <v>12.771371769383698</v>
      </c>
      <c r="V83" s="136">
        <f t="shared" si="49"/>
        <v>11.645669291338583</v>
      </c>
      <c r="W83" s="136">
        <f t="shared" si="49"/>
        <v>9.2600382409177815</v>
      </c>
      <c r="X83" s="136">
        <f t="shared" si="49"/>
        <v>2.8656575212866602</v>
      </c>
      <c r="Y83" s="136">
        <f t="shared" si="49"/>
        <v>1.8388003748828492</v>
      </c>
      <c r="Z83" s="136">
        <f t="shared" si="49"/>
        <v>-1.0352504638218925</v>
      </c>
      <c r="AA83" s="137">
        <f t="shared" si="49"/>
        <v>1.1054545454545455</v>
      </c>
      <c r="AB83" s="136">
        <f t="shared" si="49"/>
        <v>8.3778966131907315E-2</v>
      </c>
      <c r="AC83" s="136">
        <f t="shared" si="49"/>
        <v>-1.7919580419580419</v>
      </c>
      <c r="AD83" s="136" t="e">
        <f t="shared" si="49"/>
        <v>#DIV/0!</v>
      </c>
      <c r="AE83" s="136" t="e">
        <f t="shared" si="49"/>
        <v>#DIV/0!</v>
      </c>
      <c r="AF83" s="7"/>
    </row>
    <row r="84" spans="1:32" ht="12.75" outlineLevel="1">
      <c r="A84" s="178"/>
      <c r="B84" s="178"/>
      <c r="C84" s="178"/>
      <c r="D84" s="178"/>
      <c r="E84" s="178"/>
      <c r="F84" s="178"/>
      <c r="G84" s="178"/>
      <c r="H84" s="865"/>
      <c r="I84" s="865"/>
      <c r="J84" s="217" t="s">
        <v>137</v>
      </c>
      <c r="K84" s="136"/>
      <c r="L84" s="136"/>
      <c r="M84" s="136"/>
      <c r="N84" s="136"/>
      <c r="O84" s="136">
        <f t="shared" ref="O84:AE84" si="50">O64/O44</f>
        <v>11.813461538461539</v>
      </c>
      <c r="P84" s="136">
        <f t="shared" si="50"/>
        <v>27.411637931034484</v>
      </c>
      <c r="Q84" s="136">
        <f t="shared" si="50"/>
        <v>47.178030303030305</v>
      </c>
      <c r="R84" s="136">
        <f t="shared" si="50"/>
        <v>33.873595505617978</v>
      </c>
      <c r="S84" s="136">
        <f t="shared" si="50"/>
        <v>25.302173913043479</v>
      </c>
      <c r="T84" s="136">
        <f t="shared" si="50"/>
        <v>12.509025270758123</v>
      </c>
      <c r="U84" s="137">
        <f t="shared" si="50"/>
        <v>12.026315789473685</v>
      </c>
      <c r="V84" s="136">
        <f t="shared" si="50"/>
        <v>10.675182481751825</v>
      </c>
      <c r="W84" s="136">
        <f t="shared" si="50"/>
        <v>8.663120567375886</v>
      </c>
      <c r="X84" s="136">
        <f t="shared" si="50"/>
        <v>7.4900086880973067</v>
      </c>
      <c r="Y84" s="136">
        <f t="shared" si="50"/>
        <v>2.1994840928632846</v>
      </c>
      <c r="Z84" s="136">
        <f t="shared" si="50"/>
        <v>-0.52470187393526402</v>
      </c>
      <c r="AA84" s="137">
        <f t="shared" si="50"/>
        <v>1.3291976840363937</v>
      </c>
      <c r="AB84" s="136">
        <f t="shared" si="50"/>
        <v>0.30226904376012964</v>
      </c>
      <c r="AC84" s="136">
        <f t="shared" si="50"/>
        <v>-0.78298887122416538</v>
      </c>
      <c r="AD84" s="136" t="e">
        <f t="shared" si="50"/>
        <v>#DIV/0!</v>
      </c>
      <c r="AE84" s="136" t="e">
        <f t="shared" si="50"/>
        <v>#DIV/0!</v>
      </c>
      <c r="AF84" s="7"/>
    </row>
    <row r="85" spans="1:32" ht="12.75" outlineLevel="1">
      <c r="A85" s="178"/>
      <c r="B85" s="178"/>
      <c r="C85" s="178"/>
      <c r="D85" s="178"/>
      <c r="E85" s="178"/>
      <c r="F85" s="178"/>
      <c r="G85" s="178"/>
      <c r="H85" s="865"/>
      <c r="I85" s="865"/>
      <c r="J85" s="217" t="s">
        <v>138</v>
      </c>
      <c r="K85" s="136"/>
      <c r="L85" s="136"/>
      <c r="M85" s="136"/>
      <c r="N85" s="136"/>
      <c r="O85" s="136">
        <f t="shared" ref="O85:AE85" si="51">O65/O45</f>
        <v>7.6568877551020407</v>
      </c>
      <c r="P85" s="136">
        <f t="shared" si="51"/>
        <v>11.752118644067796</v>
      </c>
      <c r="Q85" s="136">
        <f t="shared" si="51"/>
        <v>15.911585365853659</v>
      </c>
      <c r="R85" s="136">
        <f t="shared" si="51"/>
        <v>17.260563380281692</v>
      </c>
      <c r="S85" s="136">
        <f t="shared" si="51"/>
        <v>16.880434782608695</v>
      </c>
      <c r="T85" s="136">
        <f t="shared" si="51"/>
        <v>22.613333333333333</v>
      </c>
      <c r="U85" s="137">
        <f t="shared" si="51"/>
        <v>4.4842360549717055</v>
      </c>
      <c r="V85" s="136">
        <f t="shared" si="51"/>
        <v>3.39540412044374</v>
      </c>
      <c r="W85" s="136">
        <f t="shared" si="51"/>
        <v>2.0186480186480185</v>
      </c>
      <c r="X85" s="136">
        <f t="shared" si="51"/>
        <v>0.97867479055597872</v>
      </c>
      <c r="Y85" s="136">
        <f t="shared" si="51"/>
        <v>-3.0920060331825039E-2</v>
      </c>
      <c r="Z85" s="136">
        <f t="shared" si="51"/>
        <v>-1.0306198655713219</v>
      </c>
      <c r="AA85" s="137">
        <f t="shared" si="51"/>
        <v>2.6142131979695433</v>
      </c>
      <c r="AB85" s="136">
        <f t="shared" si="51"/>
        <v>1.5621890547263682</v>
      </c>
      <c r="AC85" s="136">
        <f t="shared" si="51"/>
        <v>-1.0013937282229965</v>
      </c>
      <c r="AD85" s="136" t="e">
        <f t="shared" si="51"/>
        <v>#DIV/0!</v>
      </c>
      <c r="AE85" s="136" t="e">
        <f t="shared" si="51"/>
        <v>#DIV/0!</v>
      </c>
      <c r="AF85" s="7"/>
    </row>
    <row r="86" spans="1:32" ht="12.75" outlineLevel="1">
      <c r="A86" s="178"/>
      <c r="B86" s="178"/>
      <c r="C86" s="178"/>
      <c r="D86" s="178"/>
      <c r="E86" s="178"/>
      <c r="F86" s="178"/>
      <c r="G86" s="178"/>
      <c r="H86" s="866"/>
      <c r="I86" s="866"/>
      <c r="J86" s="217" t="s">
        <v>139</v>
      </c>
      <c r="K86" s="136"/>
      <c r="L86" s="136"/>
      <c r="M86" s="136"/>
      <c r="N86" s="136"/>
      <c r="O86" s="136">
        <f t="shared" ref="O86:AE86" si="52">O66/O46</f>
        <v>5.4198473282442752</v>
      </c>
      <c r="P86" s="136">
        <f t="shared" si="52"/>
        <v>14.148936170212766</v>
      </c>
      <c r="Q86" s="136">
        <f t="shared" si="52"/>
        <v>12.854166666666666</v>
      </c>
      <c r="R86" s="136">
        <f t="shared" si="52"/>
        <v>22.231132075471699</v>
      </c>
      <c r="S86" s="136">
        <f t="shared" si="52"/>
        <v>13.580246913580247</v>
      </c>
      <c r="T86" s="136">
        <f t="shared" si="52"/>
        <v>7.0626349892008635</v>
      </c>
      <c r="U86" s="137">
        <f t="shared" si="52"/>
        <v>6.2828507795100226</v>
      </c>
      <c r="V86" s="136">
        <f t="shared" si="52"/>
        <v>3.2522727272727274</v>
      </c>
      <c r="W86" s="136">
        <f t="shared" si="52"/>
        <v>2.2193475815523058</v>
      </c>
      <c r="X86" s="136">
        <f t="shared" si="52"/>
        <v>1.1971046770601337</v>
      </c>
      <c r="Y86" s="136">
        <f t="shared" si="52"/>
        <v>-0.91730981256890853</v>
      </c>
      <c r="Z86" s="136">
        <f t="shared" si="52"/>
        <v>-1.9082969432314409</v>
      </c>
      <c r="AA86" s="137">
        <f t="shared" si="52"/>
        <v>4.4775160599571731</v>
      </c>
      <c r="AB86" s="136">
        <f t="shared" si="52"/>
        <v>0.2402938090241343</v>
      </c>
      <c r="AC86" s="136">
        <f t="shared" si="52"/>
        <v>-0.76440329218106995</v>
      </c>
      <c r="AD86" s="136" t="e">
        <f t="shared" si="52"/>
        <v>#DIV/0!</v>
      </c>
      <c r="AE86" s="136" t="e">
        <f t="shared" si="52"/>
        <v>#DIV/0!</v>
      </c>
      <c r="AF86" s="7"/>
    </row>
    <row r="87" spans="1:32" ht="12.75" outlineLevel="1">
      <c r="A87" s="178"/>
      <c r="B87" s="178"/>
      <c r="C87" s="178"/>
      <c r="D87" s="178"/>
      <c r="E87" s="178"/>
      <c r="F87" s="178"/>
      <c r="G87" s="178"/>
      <c r="H87" s="268"/>
      <c r="I87" s="896" t="s">
        <v>38</v>
      </c>
      <c r="J87" s="860"/>
      <c r="K87" s="280">
        <f t="shared" ref="K87:Z87" si="53">AVERAGE(K71:K86)</f>
        <v>3.3656159303896982</v>
      </c>
      <c r="L87" s="280">
        <f t="shared" si="53"/>
        <v>3.5745843940098694</v>
      </c>
      <c r="M87" s="280">
        <f t="shared" si="53"/>
        <v>4.0583624894330361</v>
      </c>
      <c r="N87" s="280">
        <f t="shared" si="53"/>
        <v>3.8659290569695308</v>
      </c>
      <c r="O87" s="280">
        <f t="shared" si="53"/>
        <v>5.6082093537534616</v>
      </c>
      <c r="P87" s="280">
        <f t="shared" si="53"/>
        <v>10.557810309277063</v>
      </c>
      <c r="Q87" s="280">
        <f t="shared" si="53"/>
        <v>14.348813726669709</v>
      </c>
      <c r="R87" s="280">
        <f t="shared" si="53"/>
        <v>14.593434516066614</v>
      </c>
      <c r="S87" s="280">
        <f t="shared" si="53"/>
        <v>18.275811584774154</v>
      </c>
      <c r="T87" s="280">
        <f t="shared" si="53"/>
        <v>16.909031612054456</v>
      </c>
      <c r="U87" s="281">
        <f t="shared" si="53"/>
        <v>13.994734871164447</v>
      </c>
      <c r="V87" s="280">
        <f t="shared" si="53"/>
        <v>12.42017810846766</v>
      </c>
      <c r="W87" s="280">
        <f t="shared" si="53"/>
        <v>9.7949004240964701</v>
      </c>
      <c r="X87" s="280">
        <f t="shared" si="53"/>
        <v>7.7617366053096983</v>
      </c>
      <c r="Y87" s="280">
        <f t="shared" si="53"/>
        <v>5.9022554320584266</v>
      </c>
      <c r="Z87" s="280">
        <f t="shared" si="53"/>
        <v>4.6388274268774907</v>
      </c>
      <c r="AA87" s="281"/>
      <c r="AB87" s="312"/>
      <c r="AC87" s="312"/>
      <c r="AD87" s="312"/>
      <c r="AE87" s="312"/>
      <c r="AF87" s="7"/>
    </row>
    <row r="88" spans="1:32" ht="12.75">
      <c r="A88" s="178"/>
      <c r="B88" s="178"/>
      <c r="C88" s="178"/>
      <c r="D88" s="178"/>
      <c r="E88" s="178"/>
      <c r="F88" s="178"/>
      <c r="G88" s="178"/>
      <c r="AF88" s="7"/>
    </row>
    <row r="89" spans="1:32" ht="12.75">
      <c r="A89" s="178"/>
      <c r="B89" s="178"/>
      <c r="C89" s="178"/>
      <c r="D89" s="178"/>
      <c r="E89" s="178"/>
      <c r="F89" s="178"/>
      <c r="G89" s="178"/>
      <c r="AF89" s="7"/>
    </row>
    <row r="90" spans="1:32" ht="12.75">
      <c r="A90" s="178"/>
      <c r="B90" s="178"/>
      <c r="C90" s="178"/>
      <c r="D90" s="178"/>
      <c r="E90" s="178"/>
      <c r="F90" s="178"/>
      <c r="G90" s="178"/>
    </row>
    <row r="91" spans="1:32" ht="12.75">
      <c r="A91" s="178"/>
      <c r="B91" s="178"/>
      <c r="C91" s="178"/>
      <c r="D91" s="178"/>
      <c r="E91" s="178"/>
      <c r="F91" s="178"/>
      <c r="G91" s="178"/>
    </row>
    <row r="92" spans="1:32" ht="12.75">
      <c r="A92" s="178"/>
      <c r="B92" s="178"/>
      <c r="C92" s="178"/>
      <c r="D92" s="178"/>
      <c r="E92" s="178"/>
      <c r="F92" s="178"/>
      <c r="G92" s="178"/>
    </row>
    <row r="93" spans="1:32" ht="12.75">
      <c r="A93" s="178"/>
      <c r="B93" s="178"/>
      <c r="C93" s="178"/>
      <c r="D93" s="178"/>
      <c r="E93" s="178"/>
      <c r="F93" s="178"/>
      <c r="G93" s="178"/>
    </row>
    <row r="94" spans="1:32" ht="12.75">
      <c r="A94" s="178"/>
      <c r="B94" s="178"/>
      <c r="C94" s="178"/>
      <c r="D94" s="178"/>
      <c r="E94" s="178"/>
      <c r="F94" s="178"/>
      <c r="G94" s="178"/>
    </row>
    <row r="95" spans="1:32" ht="12.75">
      <c r="A95" s="178"/>
      <c r="B95" s="178"/>
      <c r="C95" s="178"/>
      <c r="D95" s="178"/>
      <c r="E95" s="178"/>
      <c r="F95" s="178"/>
      <c r="G95" s="178"/>
    </row>
    <row r="96" spans="1:32" ht="12.75">
      <c r="A96" s="178"/>
      <c r="B96" s="178"/>
      <c r="C96" s="178"/>
      <c r="D96" s="178"/>
      <c r="E96" s="178"/>
      <c r="F96" s="178"/>
      <c r="G96" s="178"/>
    </row>
    <row r="97" spans="1:7" ht="12.75">
      <c r="A97" s="178"/>
      <c r="B97" s="178"/>
      <c r="C97" s="178"/>
      <c r="D97" s="178"/>
      <c r="E97" s="178"/>
      <c r="F97" s="178"/>
      <c r="G97" s="178"/>
    </row>
    <row r="98" spans="1:7" ht="12.75">
      <c r="A98" s="178"/>
      <c r="B98" s="178"/>
      <c r="C98" s="178"/>
      <c r="D98" s="178"/>
      <c r="E98" s="178"/>
      <c r="F98" s="178"/>
      <c r="G98" s="178"/>
    </row>
    <row r="99" spans="1:7" ht="12.75">
      <c r="A99" s="178"/>
      <c r="B99" s="178"/>
      <c r="C99" s="178"/>
      <c r="D99" s="178"/>
      <c r="E99" s="178"/>
      <c r="F99" s="178"/>
      <c r="G99" s="178"/>
    </row>
    <row r="100" spans="1:7" ht="12.75">
      <c r="A100" s="178"/>
      <c r="B100" s="178"/>
      <c r="C100" s="178"/>
      <c r="D100" s="178"/>
      <c r="E100" s="178"/>
      <c r="F100" s="178"/>
      <c r="G100" s="178"/>
    </row>
    <row r="101" spans="1:7" ht="12.75">
      <c r="A101" s="178"/>
      <c r="B101" s="178"/>
      <c r="C101" s="178"/>
      <c r="D101" s="178"/>
      <c r="E101" s="178"/>
      <c r="F101" s="178"/>
      <c r="G101" s="178"/>
    </row>
    <row r="102" spans="1:7" ht="12.75">
      <c r="A102" s="178"/>
      <c r="B102" s="178"/>
      <c r="C102" s="178"/>
      <c r="D102" s="178"/>
      <c r="E102" s="178"/>
      <c r="F102" s="178"/>
      <c r="G102" s="178"/>
    </row>
    <row r="103" spans="1:7" ht="12.75">
      <c r="A103" s="178"/>
      <c r="B103" s="178"/>
      <c r="C103" s="178"/>
      <c r="D103" s="178"/>
      <c r="E103" s="178"/>
      <c r="F103" s="178"/>
      <c r="G103" s="178"/>
    </row>
    <row r="104" spans="1:7" ht="12.75">
      <c r="A104" s="178"/>
      <c r="B104" s="178"/>
      <c r="C104" s="178"/>
      <c r="D104" s="178"/>
      <c r="E104" s="178"/>
      <c r="F104" s="178"/>
      <c r="G104" s="178"/>
    </row>
    <row r="105" spans="1:7" ht="12.75">
      <c r="A105" s="178"/>
      <c r="B105" s="178"/>
      <c r="C105" s="178"/>
      <c r="D105" s="178"/>
      <c r="E105" s="178"/>
      <c r="F105" s="178"/>
      <c r="G105" s="178"/>
    </row>
    <row r="106" spans="1:7" ht="12.75">
      <c r="A106" s="178"/>
      <c r="B106" s="178"/>
      <c r="C106" s="178"/>
      <c r="D106" s="178"/>
      <c r="E106" s="178"/>
      <c r="F106" s="178"/>
      <c r="G106" s="178"/>
    </row>
    <row r="107" spans="1:7" ht="12.75">
      <c r="A107" s="178"/>
      <c r="B107" s="178"/>
      <c r="C107" s="178"/>
      <c r="D107" s="178"/>
      <c r="E107" s="178"/>
      <c r="F107" s="178"/>
      <c r="G107" s="178"/>
    </row>
    <row r="108" spans="1:7" ht="12.75">
      <c r="A108" s="178"/>
      <c r="B108" s="178"/>
      <c r="C108" s="178"/>
      <c r="D108" s="178"/>
      <c r="E108" s="178"/>
      <c r="F108" s="178"/>
      <c r="G108" s="178"/>
    </row>
    <row r="109" spans="1:7" ht="12.75">
      <c r="A109" s="178"/>
      <c r="B109" s="178"/>
      <c r="C109" s="178"/>
      <c r="D109" s="178"/>
      <c r="E109" s="178"/>
      <c r="F109" s="178"/>
      <c r="G109" s="178"/>
    </row>
    <row r="110" spans="1:7" ht="12.75">
      <c r="A110" s="178"/>
      <c r="B110" s="178"/>
      <c r="C110" s="178"/>
      <c r="D110" s="178"/>
      <c r="E110" s="178"/>
      <c r="F110" s="178"/>
      <c r="G110" s="178"/>
    </row>
    <row r="111" spans="1:7" ht="12.75">
      <c r="A111" s="178"/>
      <c r="B111" s="178"/>
      <c r="C111" s="178"/>
      <c r="D111" s="178"/>
      <c r="E111" s="178"/>
      <c r="F111" s="178"/>
      <c r="G111" s="178"/>
    </row>
    <row r="112" spans="1:7" ht="12.75">
      <c r="A112" s="178"/>
      <c r="B112" s="178"/>
      <c r="C112" s="178"/>
      <c r="D112" s="178"/>
      <c r="E112" s="178"/>
      <c r="F112" s="178"/>
      <c r="G112" s="178"/>
    </row>
    <row r="113" spans="1:7" ht="12.75">
      <c r="A113" s="178"/>
      <c r="B113" s="178"/>
      <c r="C113" s="178"/>
      <c r="D113" s="178"/>
      <c r="E113" s="178"/>
      <c r="F113" s="178"/>
      <c r="G113" s="178"/>
    </row>
    <row r="114" spans="1:7" ht="12.75">
      <c r="A114" s="178"/>
      <c r="B114" s="178"/>
      <c r="C114" s="178"/>
      <c r="D114" s="178"/>
      <c r="E114" s="178"/>
      <c r="F114" s="178"/>
      <c r="G114" s="178"/>
    </row>
    <row r="115" spans="1:7" ht="12.75">
      <c r="A115" s="178"/>
      <c r="B115" s="178"/>
      <c r="C115" s="178"/>
      <c r="D115" s="178"/>
      <c r="E115" s="178"/>
      <c r="F115" s="178"/>
      <c r="G115" s="178"/>
    </row>
    <row r="116" spans="1:7" ht="12.75">
      <c r="A116" s="178"/>
      <c r="B116" s="178"/>
      <c r="C116" s="178"/>
      <c r="D116" s="178"/>
      <c r="E116" s="178"/>
      <c r="F116" s="178"/>
      <c r="G116" s="178"/>
    </row>
    <row r="117" spans="1:7" ht="12.75">
      <c r="A117" s="178"/>
      <c r="B117" s="178"/>
      <c r="C117" s="178"/>
      <c r="D117" s="178"/>
      <c r="E117" s="178"/>
      <c r="F117" s="178"/>
      <c r="G117" s="178"/>
    </row>
    <row r="118" spans="1:7" ht="12.75">
      <c r="A118" s="178"/>
      <c r="B118" s="178"/>
      <c r="C118" s="178"/>
      <c r="D118" s="178"/>
      <c r="E118" s="178"/>
      <c r="F118" s="178"/>
      <c r="G118" s="178"/>
    </row>
    <row r="119" spans="1:7" ht="12.75">
      <c r="A119" s="178"/>
      <c r="B119" s="178"/>
      <c r="C119" s="178"/>
      <c r="D119" s="178"/>
      <c r="E119" s="178"/>
      <c r="F119" s="178"/>
      <c r="G119" s="178"/>
    </row>
    <row r="120" spans="1:7" ht="12.75">
      <c r="A120" s="178"/>
      <c r="B120" s="178"/>
      <c r="C120" s="178"/>
      <c r="D120" s="178"/>
      <c r="E120" s="178"/>
      <c r="F120" s="178"/>
      <c r="G120" s="178"/>
    </row>
    <row r="121" spans="1:7" ht="12.75">
      <c r="A121" s="178"/>
      <c r="B121" s="178"/>
      <c r="C121" s="178"/>
      <c r="D121" s="178"/>
      <c r="E121" s="178"/>
      <c r="F121" s="178"/>
      <c r="G121" s="178"/>
    </row>
    <row r="122" spans="1:7" ht="12.75">
      <c r="A122" s="178"/>
      <c r="B122" s="178"/>
      <c r="C122" s="178"/>
      <c r="D122" s="178"/>
      <c r="E122" s="178"/>
      <c r="F122" s="178"/>
      <c r="G122" s="178"/>
    </row>
    <row r="123" spans="1:7" ht="12.75">
      <c r="A123" s="178"/>
      <c r="B123" s="178"/>
      <c r="C123" s="178"/>
      <c r="D123" s="178"/>
      <c r="E123" s="178"/>
      <c r="F123" s="178"/>
      <c r="G123" s="178"/>
    </row>
    <row r="124" spans="1:7" ht="12.75">
      <c r="A124" s="178"/>
      <c r="B124" s="178"/>
      <c r="C124" s="178"/>
      <c r="D124" s="178"/>
      <c r="E124" s="178"/>
      <c r="F124" s="178"/>
      <c r="G124" s="178"/>
    </row>
    <row r="125" spans="1:7" ht="12.75">
      <c r="A125" s="178"/>
      <c r="B125" s="178"/>
      <c r="C125" s="178"/>
      <c r="D125" s="178"/>
      <c r="E125" s="178"/>
      <c r="F125" s="178"/>
      <c r="G125" s="178"/>
    </row>
    <row r="126" spans="1:7" ht="12.75">
      <c r="A126" s="178"/>
      <c r="B126" s="178"/>
      <c r="C126" s="178"/>
      <c r="D126" s="178"/>
      <c r="E126" s="178"/>
      <c r="F126" s="178"/>
      <c r="G126" s="178"/>
    </row>
    <row r="127" spans="1:7" ht="12.75">
      <c r="A127" s="178"/>
      <c r="B127" s="178"/>
      <c r="C127" s="178"/>
      <c r="D127" s="178"/>
      <c r="E127" s="178"/>
      <c r="F127" s="178"/>
      <c r="G127" s="178"/>
    </row>
    <row r="128" spans="1:7" ht="12.75">
      <c r="A128" s="178"/>
      <c r="B128" s="178"/>
      <c r="C128" s="178"/>
      <c r="D128" s="178"/>
      <c r="E128" s="178"/>
      <c r="F128" s="178"/>
      <c r="G128" s="178"/>
    </row>
    <row r="129" spans="1:7" ht="12.75">
      <c r="A129" s="178"/>
      <c r="B129" s="178"/>
      <c r="C129" s="178"/>
      <c r="D129" s="178"/>
      <c r="E129" s="178"/>
      <c r="F129" s="178"/>
      <c r="G129" s="178"/>
    </row>
    <row r="130" spans="1:7" ht="12.75">
      <c r="A130" s="178"/>
      <c r="B130" s="178"/>
      <c r="C130" s="178"/>
      <c r="D130" s="178"/>
      <c r="E130" s="178"/>
      <c r="F130" s="178"/>
      <c r="G130" s="178"/>
    </row>
    <row r="131" spans="1:7" ht="12.75">
      <c r="A131" s="178"/>
      <c r="B131" s="178"/>
      <c r="C131" s="178"/>
      <c r="D131" s="178"/>
      <c r="E131" s="178"/>
      <c r="F131" s="178"/>
      <c r="G131" s="178"/>
    </row>
    <row r="132" spans="1:7" ht="12.75">
      <c r="A132" s="178"/>
      <c r="B132" s="178"/>
      <c r="C132" s="178"/>
      <c r="D132" s="178"/>
      <c r="E132" s="178"/>
      <c r="F132" s="178"/>
      <c r="G132" s="178"/>
    </row>
    <row r="133" spans="1:7" ht="12.75">
      <c r="A133" s="178"/>
      <c r="B133" s="178"/>
      <c r="C133" s="178"/>
      <c r="D133" s="178"/>
      <c r="E133" s="178"/>
      <c r="F133" s="178"/>
      <c r="G133" s="178"/>
    </row>
    <row r="134" spans="1:7" ht="12.75">
      <c r="A134" s="178"/>
      <c r="B134" s="178"/>
      <c r="C134" s="178"/>
      <c r="D134" s="178"/>
      <c r="E134" s="178"/>
      <c r="F134" s="178"/>
      <c r="G134" s="178"/>
    </row>
    <row r="135" spans="1:7" ht="12.75">
      <c r="A135" s="178"/>
      <c r="B135" s="178"/>
      <c r="C135" s="178"/>
      <c r="D135" s="178"/>
      <c r="E135" s="178"/>
      <c r="F135" s="178"/>
      <c r="G135" s="178"/>
    </row>
    <row r="136" spans="1:7" ht="12.75">
      <c r="A136" s="178"/>
      <c r="B136" s="178"/>
      <c r="C136" s="178"/>
      <c r="D136" s="178"/>
      <c r="E136" s="178"/>
      <c r="F136" s="178"/>
      <c r="G136" s="178"/>
    </row>
    <row r="137" spans="1:7" ht="12.75">
      <c r="A137" s="178"/>
      <c r="B137" s="178"/>
      <c r="C137" s="178"/>
      <c r="D137" s="178"/>
      <c r="E137" s="178"/>
      <c r="F137" s="178"/>
      <c r="G137" s="178"/>
    </row>
    <row r="138" spans="1:7" ht="12.75">
      <c r="A138" s="178"/>
      <c r="B138" s="178"/>
      <c r="C138" s="178"/>
      <c r="D138" s="178"/>
      <c r="E138" s="178"/>
      <c r="F138" s="178"/>
      <c r="G138" s="178"/>
    </row>
    <row r="139" spans="1:7" ht="12.75">
      <c r="A139" s="178"/>
      <c r="B139" s="178"/>
      <c r="C139" s="178"/>
      <c r="D139" s="178"/>
      <c r="E139" s="178"/>
      <c r="F139" s="178"/>
      <c r="G139" s="178"/>
    </row>
    <row r="140" spans="1:7" ht="12.75">
      <c r="A140" s="178"/>
      <c r="B140" s="178"/>
      <c r="C140" s="178"/>
      <c r="D140" s="178"/>
      <c r="E140" s="178"/>
      <c r="F140" s="178"/>
      <c r="G140" s="178"/>
    </row>
    <row r="141" spans="1:7" ht="12.75">
      <c r="A141" s="178"/>
      <c r="B141" s="178"/>
      <c r="C141" s="178"/>
      <c r="D141" s="178"/>
      <c r="E141" s="178"/>
      <c r="F141" s="178"/>
      <c r="G141" s="178"/>
    </row>
    <row r="142" spans="1:7" ht="12.75">
      <c r="A142" s="178"/>
      <c r="B142" s="178"/>
      <c r="C142" s="178"/>
      <c r="D142" s="178"/>
      <c r="E142" s="178"/>
      <c r="F142" s="178"/>
      <c r="G142" s="178"/>
    </row>
    <row r="143" spans="1:7" ht="12.75">
      <c r="A143" s="178"/>
      <c r="B143" s="178"/>
      <c r="C143" s="178"/>
      <c r="D143" s="178"/>
      <c r="E143" s="178"/>
      <c r="F143" s="178"/>
      <c r="G143" s="178"/>
    </row>
    <row r="144" spans="1:7" ht="12.75">
      <c r="A144" s="178"/>
      <c r="B144" s="178"/>
      <c r="C144" s="178"/>
      <c r="D144" s="178"/>
      <c r="E144" s="178"/>
      <c r="F144" s="178"/>
      <c r="G144" s="178"/>
    </row>
    <row r="145" spans="1:7" ht="12.75">
      <c r="A145" s="178"/>
      <c r="B145" s="178"/>
      <c r="C145" s="178"/>
      <c r="D145" s="178"/>
      <c r="E145" s="178"/>
      <c r="F145" s="178"/>
      <c r="G145" s="178"/>
    </row>
    <row r="146" spans="1:7" ht="12.75">
      <c r="A146" s="178"/>
      <c r="B146" s="178"/>
      <c r="C146" s="178"/>
      <c r="D146" s="178"/>
      <c r="E146" s="178"/>
      <c r="F146" s="178"/>
      <c r="G146" s="178"/>
    </row>
    <row r="147" spans="1:7" ht="12.75">
      <c r="A147" s="178"/>
      <c r="B147" s="178"/>
      <c r="C147" s="178"/>
      <c r="D147" s="178"/>
      <c r="E147" s="178"/>
      <c r="F147" s="178"/>
      <c r="G147" s="178"/>
    </row>
    <row r="148" spans="1:7" ht="12.75">
      <c r="A148" s="178"/>
      <c r="B148" s="178"/>
      <c r="C148" s="178"/>
      <c r="D148" s="178"/>
      <c r="E148" s="178"/>
      <c r="F148" s="178"/>
      <c r="G148" s="178"/>
    </row>
    <row r="149" spans="1:7" ht="12.75">
      <c r="A149" s="178"/>
      <c r="B149" s="178"/>
      <c r="C149" s="178"/>
      <c r="D149" s="178"/>
      <c r="E149" s="178"/>
      <c r="F149" s="178"/>
      <c r="G149" s="178"/>
    </row>
    <row r="150" spans="1:7" ht="12.75">
      <c r="A150" s="178"/>
      <c r="B150" s="178"/>
      <c r="C150" s="178"/>
      <c r="D150" s="178"/>
      <c r="E150" s="178"/>
      <c r="F150" s="178"/>
      <c r="G150" s="178"/>
    </row>
    <row r="151" spans="1:7" ht="12.75">
      <c r="A151" s="178"/>
      <c r="B151" s="178"/>
      <c r="C151" s="178"/>
      <c r="D151" s="178"/>
      <c r="E151" s="178"/>
      <c r="F151" s="178"/>
      <c r="G151" s="178"/>
    </row>
    <row r="152" spans="1:7" ht="12.75">
      <c r="A152" s="178"/>
      <c r="B152" s="178"/>
      <c r="C152" s="178"/>
      <c r="D152" s="178"/>
      <c r="E152" s="178"/>
      <c r="F152" s="178"/>
      <c r="G152" s="178"/>
    </row>
    <row r="153" spans="1:7" ht="12.75">
      <c r="A153" s="178"/>
      <c r="B153" s="178"/>
      <c r="C153" s="178"/>
      <c r="D153" s="178"/>
      <c r="E153" s="178"/>
      <c r="F153" s="178"/>
      <c r="G153" s="178"/>
    </row>
    <row r="154" spans="1:7" ht="12.75">
      <c r="A154" s="178"/>
      <c r="B154" s="178"/>
      <c r="C154" s="178"/>
      <c r="D154" s="178"/>
      <c r="E154" s="178"/>
      <c r="F154" s="178"/>
      <c r="G154" s="178"/>
    </row>
    <row r="155" spans="1:7" ht="12.75">
      <c r="A155" s="178"/>
      <c r="B155" s="178"/>
      <c r="C155" s="178"/>
      <c r="D155" s="178"/>
      <c r="E155" s="178"/>
      <c r="F155" s="178"/>
      <c r="G155" s="178"/>
    </row>
    <row r="156" spans="1:7" ht="12.75">
      <c r="A156" s="178"/>
      <c r="B156" s="178"/>
      <c r="C156" s="178"/>
      <c r="D156" s="178"/>
      <c r="E156" s="178"/>
      <c r="F156" s="178"/>
      <c r="G156" s="178"/>
    </row>
    <row r="157" spans="1:7" ht="12.75">
      <c r="A157" s="178"/>
      <c r="B157" s="178"/>
      <c r="C157" s="178"/>
      <c r="D157" s="178"/>
      <c r="E157" s="178"/>
      <c r="F157" s="178"/>
      <c r="G157" s="178"/>
    </row>
    <row r="158" spans="1:7" ht="12.75">
      <c r="A158" s="178"/>
      <c r="B158" s="178"/>
      <c r="C158" s="178"/>
      <c r="D158" s="178"/>
      <c r="E158" s="178"/>
      <c r="F158" s="178"/>
      <c r="G158" s="178"/>
    </row>
    <row r="159" spans="1:7" ht="12.75">
      <c r="A159" s="178"/>
      <c r="B159" s="178"/>
      <c r="C159" s="178"/>
      <c r="D159" s="178"/>
      <c r="E159" s="178"/>
      <c r="F159" s="178"/>
      <c r="G159" s="178"/>
    </row>
    <row r="160" spans="1:7" ht="12.75">
      <c r="A160" s="178"/>
      <c r="B160" s="178"/>
      <c r="C160" s="178"/>
      <c r="D160" s="178"/>
      <c r="E160" s="178"/>
      <c r="F160" s="178"/>
      <c r="G160" s="178"/>
    </row>
    <row r="161" spans="1:7" ht="12.75">
      <c r="A161" s="178"/>
      <c r="B161" s="178"/>
      <c r="C161" s="178"/>
      <c r="D161" s="178"/>
      <c r="E161" s="178"/>
      <c r="F161" s="178"/>
      <c r="G161" s="178"/>
    </row>
    <row r="162" spans="1:7" ht="12.75">
      <c r="A162" s="178"/>
      <c r="B162" s="178"/>
      <c r="C162" s="178"/>
      <c r="D162" s="178"/>
      <c r="E162" s="178"/>
      <c r="F162" s="178"/>
      <c r="G162" s="178"/>
    </row>
    <row r="163" spans="1:7" ht="12.75">
      <c r="A163" s="178"/>
      <c r="B163" s="178"/>
      <c r="C163" s="178"/>
      <c r="D163" s="178"/>
      <c r="E163" s="178"/>
      <c r="F163" s="178"/>
      <c r="G163" s="178"/>
    </row>
    <row r="164" spans="1:7" ht="12.75">
      <c r="A164" s="178"/>
      <c r="B164" s="178"/>
      <c r="C164" s="178"/>
      <c r="D164" s="178"/>
      <c r="E164" s="178"/>
      <c r="F164" s="178"/>
      <c r="G164" s="178"/>
    </row>
    <row r="165" spans="1:7" ht="12.75">
      <c r="A165" s="178"/>
      <c r="B165" s="178"/>
      <c r="C165" s="178"/>
      <c r="D165" s="178"/>
      <c r="E165" s="178"/>
      <c r="F165" s="178"/>
      <c r="G165" s="178"/>
    </row>
    <row r="166" spans="1:7" ht="12.75">
      <c r="A166" s="178"/>
      <c r="B166" s="178"/>
      <c r="C166" s="178"/>
      <c r="D166" s="178"/>
      <c r="E166" s="178"/>
      <c r="F166" s="178"/>
      <c r="G166" s="178"/>
    </row>
    <row r="167" spans="1:7" ht="12.75">
      <c r="A167" s="178"/>
      <c r="B167" s="178"/>
      <c r="C167" s="178"/>
      <c r="D167" s="178"/>
      <c r="E167" s="178"/>
      <c r="F167" s="178"/>
      <c r="G167" s="178"/>
    </row>
    <row r="168" spans="1:7" ht="12.75">
      <c r="A168" s="178"/>
      <c r="B168" s="178"/>
      <c r="C168" s="178"/>
      <c r="D168" s="178"/>
      <c r="E168" s="178"/>
      <c r="F168" s="178"/>
      <c r="G168" s="178"/>
    </row>
    <row r="169" spans="1:7" ht="12.75">
      <c r="A169" s="178"/>
      <c r="B169" s="178"/>
      <c r="C169" s="178"/>
      <c r="D169" s="178"/>
      <c r="E169" s="178"/>
      <c r="F169" s="178"/>
      <c r="G169" s="178"/>
    </row>
    <row r="170" spans="1:7" ht="12.75">
      <c r="A170" s="178"/>
      <c r="B170" s="178"/>
      <c r="C170" s="178"/>
      <c r="D170" s="178"/>
      <c r="E170" s="178"/>
      <c r="F170" s="178"/>
      <c r="G170" s="178"/>
    </row>
    <row r="171" spans="1:7" ht="12.75">
      <c r="A171" s="178"/>
      <c r="B171" s="178"/>
      <c r="C171" s="178"/>
      <c r="D171" s="178"/>
      <c r="E171" s="178"/>
      <c r="F171" s="178"/>
      <c r="G171" s="178"/>
    </row>
    <row r="172" spans="1:7" ht="12.75">
      <c r="A172" s="178"/>
      <c r="B172" s="178"/>
      <c r="C172" s="178"/>
      <c r="D172" s="178"/>
      <c r="E172" s="178"/>
      <c r="F172" s="178"/>
      <c r="G172" s="178"/>
    </row>
    <row r="173" spans="1:7" ht="12.75">
      <c r="A173" s="178"/>
      <c r="B173" s="178"/>
      <c r="C173" s="178"/>
      <c r="D173" s="178"/>
      <c r="E173" s="178"/>
      <c r="F173" s="178"/>
      <c r="G173" s="178"/>
    </row>
    <row r="174" spans="1:7" ht="12.75">
      <c r="A174" s="178"/>
      <c r="B174" s="178"/>
      <c r="C174" s="178"/>
      <c r="D174" s="178"/>
      <c r="E174" s="178"/>
      <c r="F174" s="178"/>
      <c r="G174" s="178"/>
    </row>
    <row r="175" spans="1:7" ht="12.75">
      <c r="A175" s="178"/>
      <c r="B175" s="178"/>
      <c r="C175" s="178"/>
      <c r="D175" s="178"/>
      <c r="E175" s="178"/>
      <c r="F175" s="178"/>
      <c r="G175" s="178"/>
    </row>
    <row r="176" spans="1:7" ht="12.75">
      <c r="A176" s="178"/>
      <c r="B176" s="178"/>
      <c r="C176" s="178"/>
      <c r="D176" s="178"/>
      <c r="E176" s="178"/>
      <c r="F176" s="178"/>
      <c r="G176" s="178"/>
    </row>
    <row r="177" spans="1:7" ht="12.75">
      <c r="A177" s="178"/>
      <c r="B177" s="178"/>
      <c r="C177" s="178"/>
      <c r="D177" s="178"/>
      <c r="E177" s="178"/>
      <c r="F177" s="178"/>
      <c r="G177" s="178"/>
    </row>
    <row r="178" spans="1:7" ht="12.75">
      <c r="A178" s="178"/>
      <c r="B178" s="178"/>
      <c r="C178" s="178"/>
      <c r="D178" s="178"/>
      <c r="E178" s="178"/>
      <c r="F178" s="178"/>
      <c r="G178" s="178"/>
    </row>
    <row r="179" spans="1:7" ht="12.75">
      <c r="A179" s="178"/>
      <c r="B179" s="178"/>
      <c r="C179" s="178"/>
      <c r="D179" s="178"/>
      <c r="E179" s="178"/>
      <c r="F179" s="178"/>
      <c r="G179" s="178"/>
    </row>
    <row r="180" spans="1:7" ht="12.75">
      <c r="A180" s="178"/>
      <c r="B180" s="178"/>
      <c r="C180" s="178"/>
      <c r="D180" s="178"/>
      <c r="E180" s="178"/>
      <c r="F180" s="178"/>
      <c r="G180" s="178"/>
    </row>
    <row r="181" spans="1:7" ht="12.75">
      <c r="A181" s="178"/>
      <c r="B181" s="178"/>
      <c r="C181" s="178"/>
      <c r="D181" s="178"/>
      <c r="E181" s="178"/>
      <c r="F181" s="178"/>
      <c r="G181" s="178"/>
    </row>
    <row r="182" spans="1:7" ht="12.75">
      <c r="A182" s="178"/>
      <c r="B182" s="178"/>
      <c r="C182" s="178"/>
      <c r="D182" s="178"/>
      <c r="E182" s="178"/>
      <c r="F182" s="178"/>
      <c r="G182" s="178"/>
    </row>
    <row r="183" spans="1:7" ht="12.75">
      <c r="A183" s="178"/>
      <c r="B183" s="178"/>
      <c r="C183" s="178"/>
      <c r="D183" s="178"/>
      <c r="E183" s="178"/>
      <c r="F183" s="178"/>
      <c r="G183" s="178"/>
    </row>
    <row r="184" spans="1:7" ht="12.75">
      <c r="A184" s="178"/>
      <c r="B184" s="178"/>
      <c r="C184" s="178"/>
      <c r="D184" s="178"/>
      <c r="E184" s="178"/>
      <c r="F184" s="178"/>
      <c r="G184" s="178"/>
    </row>
    <row r="185" spans="1:7" ht="12.75">
      <c r="A185" s="178"/>
      <c r="B185" s="178"/>
      <c r="C185" s="178"/>
      <c r="D185" s="178"/>
      <c r="E185" s="178"/>
      <c r="F185" s="178"/>
      <c r="G185" s="178"/>
    </row>
    <row r="186" spans="1:7" ht="12.75">
      <c r="A186" s="178"/>
      <c r="B186" s="178"/>
      <c r="C186" s="178"/>
      <c r="D186" s="178"/>
      <c r="E186" s="178"/>
      <c r="F186" s="178"/>
      <c r="G186" s="178"/>
    </row>
    <row r="187" spans="1:7" ht="12.75">
      <c r="A187" s="178"/>
      <c r="B187" s="178"/>
      <c r="C187" s="178"/>
      <c r="D187" s="178"/>
      <c r="E187" s="178"/>
      <c r="F187" s="178"/>
      <c r="G187" s="178"/>
    </row>
    <row r="188" spans="1:7" ht="12.75">
      <c r="A188" s="178"/>
      <c r="B188" s="178"/>
      <c r="C188" s="178"/>
      <c r="D188" s="178"/>
      <c r="E188" s="178"/>
      <c r="F188" s="178"/>
      <c r="G188" s="178"/>
    </row>
    <row r="189" spans="1:7" ht="12.75">
      <c r="A189" s="178"/>
      <c r="B189" s="178"/>
      <c r="C189" s="178"/>
      <c r="D189" s="178"/>
      <c r="E189" s="178"/>
      <c r="F189" s="178"/>
      <c r="G189" s="178"/>
    </row>
    <row r="190" spans="1:7" ht="12.75">
      <c r="A190" s="178"/>
      <c r="B190" s="178"/>
      <c r="C190" s="178"/>
      <c r="D190" s="178"/>
      <c r="E190" s="178"/>
      <c r="F190" s="178"/>
      <c r="G190" s="178"/>
    </row>
    <row r="191" spans="1:7" ht="12.75">
      <c r="A191" s="178"/>
      <c r="B191" s="178"/>
      <c r="C191" s="178"/>
      <c r="D191" s="178"/>
      <c r="E191" s="178"/>
      <c r="F191" s="178"/>
      <c r="G191" s="178"/>
    </row>
    <row r="192" spans="1:7" ht="12.75">
      <c r="A192" s="178"/>
      <c r="B192" s="178"/>
      <c r="C192" s="178"/>
      <c r="D192" s="178"/>
      <c r="E192" s="178"/>
      <c r="F192" s="178"/>
      <c r="G192" s="178"/>
    </row>
    <row r="193" spans="1:7" ht="12.75">
      <c r="A193" s="178"/>
      <c r="B193" s="178"/>
      <c r="C193" s="178"/>
      <c r="D193" s="178"/>
      <c r="E193" s="178"/>
      <c r="F193" s="178"/>
      <c r="G193" s="178"/>
    </row>
    <row r="194" spans="1:7" ht="12.75">
      <c r="A194" s="178"/>
      <c r="B194" s="178"/>
      <c r="C194" s="178"/>
      <c r="D194" s="178"/>
      <c r="E194" s="178"/>
      <c r="F194" s="178"/>
      <c r="G194" s="178"/>
    </row>
    <row r="195" spans="1:7" ht="12.75">
      <c r="A195" s="178"/>
      <c r="B195" s="178"/>
      <c r="C195" s="178"/>
      <c r="D195" s="178"/>
      <c r="E195" s="178"/>
      <c r="F195" s="178"/>
      <c r="G195" s="178"/>
    </row>
    <row r="196" spans="1:7" ht="12.75">
      <c r="A196" s="178"/>
      <c r="B196" s="178"/>
      <c r="C196" s="178"/>
      <c r="D196" s="178"/>
      <c r="E196" s="178"/>
      <c r="F196" s="178"/>
      <c r="G196" s="178"/>
    </row>
    <row r="197" spans="1:7" ht="12.75">
      <c r="A197" s="178"/>
      <c r="B197" s="178"/>
      <c r="C197" s="178"/>
      <c r="D197" s="178"/>
      <c r="E197" s="178"/>
      <c r="F197" s="178"/>
      <c r="G197" s="178"/>
    </row>
    <row r="198" spans="1:7" ht="12.75">
      <c r="A198" s="178"/>
      <c r="B198" s="178"/>
      <c r="C198" s="178"/>
      <c r="D198" s="178"/>
      <c r="E198" s="178"/>
      <c r="F198" s="178"/>
      <c r="G198" s="178"/>
    </row>
    <row r="199" spans="1:7" ht="12.75">
      <c r="A199" s="178"/>
      <c r="B199" s="178"/>
      <c r="C199" s="178"/>
      <c r="D199" s="178"/>
      <c r="E199" s="178"/>
      <c r="F199" s="178"/>
      <c r="G199" s="178"/>
    </row>
    <row r="200" spans="1:7" ht="12.75">
      <c r="A200" s="178"/>
      <c r="B200" s="178"/>
      <c r="C200" s="178"/>
      <c r="D200" s="178"/>
      <c r="E200" s="178"/>
      <c r="F200" s="178"/>
      <c r="G200" s="178"/>
    </row>
    <row r="201" spans="1:7" ht="12.75">
      <c r="A201" s="178"/>
      <c r="B201" s="178"/>
      <c r="C201" s="178"/>
      <c r="D201" s="178"/>
      <c r="E201" s="178"/>
      <c r="F201" s="178"/>
      <c r="G201" s="178"/>
    </row>
    <row r="202" spans="1:7" ht="12.75">
      <c r="A202" s="178"/>
      <c r="B202" s="178"/>
      <c r="C202" s="178"/>
      <c r="D202" s="178"/>
      <c r="E202" s="178"/>
      <c r="F202" s="178"/>
      <c r="G202" s="178"/>
    </row>
    <row r="203" spans="1:7" ht="12.75">
      <c r="A203" s="178"/>
      <c r="B203" s="178"/>
      <c r="C203" s="178"/>
      <c r="D203" s="178"/>
      <c r="E203" s="178"/>
      <c r="F203" s="178"/>
      <c r="G203" s="178"/>
    </row>
    <row r="204" spans="1:7" ht="12.75">
      <c r="A204" s="178"/>
      <c r="B204" s="178"/>
      <c r="C204" s="178"/>
      <c r="D204" s="178"/>
      <c r="E204" s="178"/>
      <c r="F204" s="178"/>
      <c r="G204" s="178"/>
    </row>
    <row r="205" spans="1:7" ht="12.75">
      <c r="A205" s="178"/>
      <c r="B205" s="178"/>
      <c r="C205" s="178"/>
      <c r="D205" s="178"/>
      <c r="E205" s="178"/>
      <c r="F205" s="178"/>
      <c r="G205" s="178"/>
    </row>
    <row r="206" spans="1:7" ht="12.75">
      <c r="A206" s="178"/>
      <c r="B206" s="178"/>
      <c r="C206" s="178"/>
      <c r="D206" s="178"/>
      <c r="E206" s="178"/>
      <c r="F206" s="178"/>
      <c r="G206" s="178"/>
    </row>
    <row r="207" spans="1:7" ht="12.75">
      <c r="A207" s="178"/>
      <c r="B207" s="178"/>
      <c r="C207" s="178"/>
      <c r="D207" s="178"/>
      <c r="E207" s="178"/>
      <c r="F207" s="178"/>
      <c r="G207" s="178"/>
    </row>
    <row r="208" spans="1:7" ht="12.75">
      <c r="A208" s="178"/>
      <c r="B208" s="178"/>
      <c r="C208" s="178"/>
      <c r="D208" s="178"/>
      <c r="E208" s="178"/>
      <c r="F208" s="178"/>
      <c r="G208" s="178"/>
    </row>
    <row r="209" spans="1:7" ht="12.75">
      <c r="A209" s="178"/>
      <c r="B209" s="178"/>
      <c r="C209" s="178"/>
      <c r="D209" s="178"/>
      <c r="E209" s="178"/>
      <c r="F209" s="178"/>
      <c r="G209" s="178"/>
    </row>
    <row r="210" spans="1:7" ht="12.75">
      <c r="A210" s="178"/>
      <c r="B210" s="178"/>
      <c r="C210" s="178"/>
      <c r="D210" s="178"/>
      <c r="E210" s="178"/>
      <c r="F210" s="178"/>
      <c r="G210" s="178"/>
    </row>
    <row r="211" spans="1:7" ht="12.75">
      <c r="A211" s="178"/>
      <c r="B211" s="178"/>
      <c r="C211" s="178"/>
      <c r="D211" s="178"/>
      <c r="E211" s="178"/>
      <c r="F211" s="178"/>
      <c r="G211" s="178"/>
    </row>
    <row r="212" spans="1:7" ht="12.75">
      <c r="A212" s="178"/>
      <c r="B212" s="178"/>
      <c r="C212" s="178"/>
      <c r="D212" s="178"/>
      <c r="E212" s="178"/>
      <c r="F212" s="178"/>
      <c r="G212" s="178"/>
    </row>
    <row r="213" spans="1:7" ht="12.75">
      <c r="A213" s="178"/>
      <c r="B213" s="178"/>
      <c r="C213" s="178"/>
      <c r="D213" s="178"/>
      <c r="E213" s="178"/>
      <c r="F213" s="178"/>
      <c r="G213" s="178"/>
    </row>
    <row r="214" spans="1:7" ht="12.75">
      <c r="A214" s="178"/>
      <c r="B214" s="178"/>
      <c r="C214" s="178"/>
      <c r="D214" s="178"/>
      <c r="E214" s="178"/>
      <c r="F214" s="178"/>
      <c r="G214" s="178"/>
    </row>
    <row r="215" spans="1:7" ht="12.75">
      <c r="A215" s="178"/>
      <c r="B215" s="178"/>
      <c r="C215" s="178"/>
      <c r="D215" s="178"/>
      <c r="E215" s="178"/>
      <c r="F215" s="178"/>
      <c r="G215" s="178"/>
    </row>
    <row r="216" spans="1:7" ht="12.75">
      <c r="A216" s="178"/>
      <c r="B216" s="178"/>
      <c r="C216" s="178"/>
      <c r="D216" s="178"/>
      <c r="E216" s="178"/>
      <c r="F216" s="178"/>
      <c r="G216" s="178"/>
    </row>
    <row r="217" spans="1:7" ht="12.75">
      <c r="A217" s="178"/>
      <c r="B217" s="178"/>
      <c r="C217" s="178"/>
      <c r="D217" s="178"/>
      <c r="E217" s="178"/>
      <c r="F217" s="178"/>
      <c r="G217" s="178"/>
    </row>
    <row r="218" spans="1:7" ht="12.75">
      <c r="A218" s="178"/>
      <c r="B218" s="178"/>
      <c r="C218" s="178"/>
      <c r="D218" s="178"/>
      <c r="E218" s="178"/>
      <c r="F218" s="178"/>
      <c r="G218" s="178"/>
    </row>
    <row r="219" spans="1:7" ht="12.75">
      <c r="A219" s="178"/>
      <c r="B219" s="178"/>
      <c r="C219" s="178"/>
      <c r="D219" s="178"/>
      <c r="E219" s="178"/>
      <c r="F219" s="178"/>
      <c r="G219" s="178"/>
    </row>
    <row r="220" spans="1:7" ht="12.75">
      <c r="A220" s="178"/>
      <c r="B220" s="178"/>
      <c r="C220" s="178"/>
      <c r="D220" s="178"/>
      <c r="E220" s="178"/>
      <c r="F220" s="178"/>
      <c r="G220" s="178"/>
    </row>
    <row r="221" spans="1:7" ht="12.75">
      <c r="A221" s="178"/>
      <c r="B221" s="178"/>
      <c r="C221" s="178"/>
      <c r="D221" s="178"/>
      <c r="E221" s="178"/>
      <c r="F221" s="178"/>
      <c r="G221" s="178"/>
    </row>
    <row r="222" spans="1:7" ht="12.75">
      <c r="A222" s="178"/>
      <c r="B222" s="178"/>
      <c r="C222" s="178"/>
      <c r="D222" s="178"/>
      <c r="E222" s="178"/>
      <c r="F222" s="178"/>
      <c r="G222" s="178"/>
    </row>
    <row r="223" spans="1:7" ht="12.75">
      <c r="A223" s="178"/>
      <c r="B223" s="178"/>
      <c r="C223" s="178"/>
      <c r="D223" s="178"/>
      <c r="E223" s="178"/>
      <c r="F223" s="178"/>
      <c r="G223" s="178"/>
    </row>
    <row r="224" spans="1:7" ht="12.75">
      <c r="A224" s="178"/>
      <c r="B224" s="178"/>
      <c r="C224" s="178"/>
      <c r="D224" s="178"/>
      <c r="E224" s="178"/>
      <c r="F224" s="178"/>
      <c r="G224" s="178"/>
    </row>
    <row r="225" spans="1:7" ht="12.75">
      <c r="A225" s="178"/>
      <c r="B225" s="178"/>
      <c r="C225" s="178"/>
      <c r="D225" s="178"/>
      <c r="E225" s="178"/>
      <c r="F225" s="178"/>
      <c r="G225" s="178"/>
    </row>
    <row r="226" spans="1:7" ht="12.75">
      <c r="A226" s="178"/>
      <c r="B226" s="178"/>
      <c r="C226" s="178"/>
      <c r="D226" s="178"/>
      <c r="E226" s="178"/>
      <c r="F226" s="178"/>
      <c r="G226" s="178"/>
    </row>
    <row r="227" spans="1:7" ht="12.75">
      <c r="A227" s="178"/>
      <c r="B227" s="178"/>
      <c r="C227" s="178"/>
      <c r="D227" s="178"/>
      <c r="E227" s="178"/>
      <c r="F227" s="178"/>
      <c r="G227" s="178"/>
    </row>
    <row r="228" spans="1:7" ht="12.75">
      <c r="A228" s="178"/>
      <c r="B228" s="178"/>
      <c r="C228" s="178"/>
      <c r="D228" s="178"/>
      <c r="E228" s="178"/>
      <c r="F228" s="178"/>
      <c r="G228" s="178"/>
    </row>
    <row r="229" spans="1:7" ht="12.75">
      <c r="A229" s="178"/>
      <c r="B229" s="178"/>
      <c r="C229" s="178"/>
      <c r="D229" s="178"/>
      <c r="E229" s="178"/>
      <c r="F229" s="178"/>
      <c r="G229" s="178"/>
    </row>
    <row r="230" spans="1:7" ht="12.75">
      <c r="A230" s="178"/>
      <c r="B230" s="178"/>
      <c r="C230" s="178"/>
      <c r="D230" s="178"/>
      <c r="E230" s="178"/>
      <c r="F230" s="178"/>
      <c r="G230" s="178"/>
    </row>
    <row r="231" spans="1:7" ht="12.75">
      <c r="A231" s="178"/>
      <c r="B231" s="178"/>
      <c r="C231" s="178"/>
      <c r="D231" s="178"/>
      <c r="E231" s="178"/>
      <c r="F231" s="178"/>
      <c r="G231" s="178"/>
    </row>
    <row r="232" spans="1:7" ht="12.75">
      <c r="A232" s="178"/>
      <c r="B232" s="178"/>
      <c r="C232" s="178"/>
      <c r="D232" s="178"/>
      <c r="E232" s="178"/>
      <c r="F232" s="178"/>
      <c r="G232" s="178"/>
    </row>
    <row r="233" spans="1:7" ht="12.75">
      <c r="A233" s="178"/>
      <c r="B233" s="178"/>
      <c r="C233" s="178"/>
      <c r="D233" s="178"/>
      <c r="E233" s="178"/>
      <c r="F233" s="178"/>
      <c r="G233" s="178"/>
    </row>
    <row r="234" spans="1:7" ht="12.75">
      <c r="A234" s="178"/>
      <c r="B234" s="178"/>
      <c r="C234" s="178"/>
      <c r="D234" s="178"/>
      <c r="E234" s="178"/>
      <c r="F234" s="178"/>
      <c r="G234" s="178"/>
    </row>
    <row r="235" spans="1:7" ht="12.75">
      <c r="A235" s="178"/>
      <c r="B235" s="178"/>
      <c r="C235" s="178"/>
      <c r="D235" s="178"/>
      <c r="E235" s="178"/>
      <c r="F235" s="178"/>
      <c r="G235" s="178"/>
    </row>
    <row r="236" spans="1:7" ht="12.75">
      <c r="A236" s="178"/>
      <c r="B236" s="178"/>
      <c r="C236" s="178"/>
      <c r="D236" s="178"/>
      <c r="E236" s="178"/>
      <c r="F236" s="178"/>
      <c r="G236" s="178"/>
    </row>
    <row r="237" spans="1:7" ht="12.75">
      <c r="A237" s="178"/>
      <c r="B237" s="178"/>
      <c r="C237" s="178"/>
      <c r="D237" s="178"/>
      <c r="E237" s="178"/>
      <c r="F237" s="178"/>
      <c r="G237" s="178"/>
    </row>
    <row r="238" spans="1:7" ht="12.75">
      <c r="A238" s="178"/>
      <c r="B238" s="178"/>
      <c r="C238" s="178"/>
      <c r="D238" s="178"/>
      <c r="E238" s="178"/>
      <c r="F238" s="178"/>
      <c r="G238" s="178"/>
    </row>
    <row r="239" spans="1:7" ht="12.75">
      <c r="A239" s="178"/>
      <c r="B239" s="178"/>
      <c r="C239" s="178"/>
      <c r="D239" s="178"/>
      <c r="E239" s="178"/>
      <c r="F239" s="178"/>
      <c r="G239" s="178"/>
    </row>
    <row r="240" spans="1:7" ht="12.75">
      <c r="A240" s="178"/>
      <c r="B240" s="178"/>
      <c r="C240" s="178"/>
      <c r="D240" s="178"/>
      <c r="E240" s="178"/>
      <c r="F240" s="178"/>
      <c r="G240" s="178"/>
    </row>
    <row r="241" spans="1:7" ht="12.75">
      <c r="A241" s="178"/>
      <c r="B241" s="178"/>
      <c r="C241" s="178"/>
      <c r="D241" s="178"/>
      <c r="E241" s="178"/>
      <c r="F241" s="178"/>
      <c r="G241" s="178"/>
    </row>
    <row r="242" spans="1:7" ht="12.75">
      <c r="A242" s="178"/>
      <c r="B242" s="178"/>
      <c r="C242" s="178"/>
      <c r="D242" s="178"/>
      <c r="E242" s="178"/>
      <c r="F242" s="178"/>
      <c r="G242" s="178"/>
    </row>
    <row r="243" spans="1:7" ht="12.75">
      <c r="A243" s="178"/>
      <c r="B243" s="178"/>
      <c r="C243" s="178"/>
      <c r="D243" s="178"/>
      <c r="E243" s="178"/>
      <c r="F243" s="178"/>
      <c r="G243" s="178"/>
    </row>
    <row r="244" spans="1:7" ht="12.75">
      <c r="A244" s="178"/>
      <c r="B244" s="178"/>
      <c r="C244" s="178"/>
      <c r="D244" s="178"/>
      <c r="E244" s="178"/>
      <c r="F244" s="178"/>
      <c r="G244" s="178"/>
    </row>
    <row r="245" spans="1:7" ht="12.75">
      <c r="A245" s="178"/>
      <c r="B245" s="178"/>
      <c r="C245" s="178"/>
      <c r="D245" s="178"/>
      <c r="E245" s="178"/>
      <c r="F245" s="178"/>
      <c r="G245" s="178"/>
    </row>
    <row r="246" spans="1:7" ht="12.75">
      <c r="A246" s="178"/>
      <c r="B246" s="178"/>
      <c r="C246" s="178"/>
      <c r="D246" s="178"/>
      <c r="E246" s="178"/>
      <c r="F246" s="178"/>
      <c r="G246" s="178"/>
    </row>
    <row r="247" spans="1:7" ht="12.75">
      <c r="A247" s="178"/>
      <c r="B247" s="178"/>
      <c r="C247" s="178"/>
      <c r="D247" s="178"/>
      <c r="E247" s="178"/>
      <c r="F247" s="178"/>
      <c r="G247" s="178"/>
    </row>
    <row r="248" spans="1:7" ht="12.75">
      <c r="A248" s="178"/>
      <c r="B248" s="178"/>
      <c r="C248" s="178"/>
      <c r="D248" s="178"/>
      <c r="E248" s="178"/>
      <c r="F248" s="178"/>
      <c r="G248" s="178"/>
    </row>
    <row r="249" spans="1:7" ht="12.75">
      <c r="A249" s="178"/>
      <c r="B249" s="178"/>
      <c r="C249" s="178"/>
      <c r="D249" s="178"/>
      <c r="E249" s="178"/>
      <c r="F249" s="178"/>
      <c r="G249" s="178"/>
    </row>
    <row r="250" spans="1:7" ht="12.75">
      <c r="A250" s="178"/>
      <c r="B250" s="178"/>
      <c r="C250" s="178"/>
      <c r="D250" s="178"/>
      <c r="E250" s="178"/>
      <c r="F250" s="178"/>
      <c r="G250" s="178"/>
    </row>
    <row r="251" spans="1:7" ht="12.75">
      <c r="A251" s="178"/>
      <c r="B251" s="178"/>
      <c r="C251" s="178"/>
      <c r="D251" s="178"/>
      <c r="E251" s="178"/>
      <c r="F251" s="178"/>
      <c r="G251" s="178"/>
    </row>
    <row r="252" spans="1:7" ht="12.75">
      <c r="A252" s="178"/>
      <c r="B252" s="178"/>
      <c r="C252" s="178"/>
      <c r="D252" s="178"/>
      <c r="E252" s="178"/>
      <c r="F252" s="178"/>
      <c r="G252" s="178"/>
    </row>
    <row r="253" spans="1:7" ht="12.75">
      <c r="A253" s="178"/>
      <c r="B253" s="178"/>
      <c r="C253" s="178"/>
      <c r="D253" s="178"/>
      <c r="E253" s="178"/>
      <c r="F253" s="178"/>
      <c r="G253" s="178"/>
    </row>
    <row r="254" spans="1:7" ht="12.75">
      <c r="A254" s="178"/>
      <c r="B254" s="178"/>
      <c r="C254" s="178"/>
      <c r="D254" s="178"/>
      <c r="E254" s="178"/>
      <c r="F254" s="178"/>
      <c r="G254" s="178"/>
    </row>
    <row r="255" spans="1:7" ht="12.75">
      <c r="A255" s="178"/>
      <c r="B255" s="178"/>
      <c r="C255" s="178"/>
      <c r="D255" s="178"/>
      <c r="E255" s="178"/>
      <c r="F255" s="178"/>
      <c r="G255" s="178"/>
    </row>
    <row r="256" spans="1:7" ht="12.75">
      <c r="A256" s="178"/>
      <c r="B256" s="178"/>
      <c r="C256" s="178"/>
      <c r="D256" s="178"/>
      <c r="E256" s="178"/>
      <c r="F256" s="178"/>
      <c r="G256" s="178"/>
    </row>
    <row r="257" spans="1:7" ht="12.75">
      <c r="A257" s="178"/>
      <c r="B257" s="178"/>
      <c r="C257" s="178"/>
      <c r="D257" s="178"/>
      <c r="E257" s="178"/>
      <c r="F257" s="178"/>
      <c r="G257" s="178"/>
    </row>
    <row r="258" spans="1:7" ht="12.75">
      <c r="A258" s="178"/>
      <c r="B258" s="178"/>
      <c r="C258" s="178"/>
      <c r="D258" s="178"/>
      <c r="E258" s="178"/>
      <c r="F258" s="178"/>
      <c r="G258" s="178"/>
    </row>
    <row r="259" spans="1:7" ht="12.75">
      <c r="A259" s="178"/>
      <c r="B259" s="178"/>
      <c r="C259" s="178"/>
      <c r="D259" s="178"/>
      <c r="E259" s="178"/>
      <c r="F259" s="178"/>
      <c r="G259" s="178"/>
    </row>
    <row r="260" spans="1:7" ht="12.75">
      <c r="A260" s="178"/>
      <c r="B260" s="178"/>
      <c r="C260" s="178"/>
      <c r="D260" s="178"/>
      <c r="E260" s="178"/>
      <c r="F260" s="178"/>
      <c r="G260" s="178"/>
    </row>
    <row r="261" spans="1:7" ht="12.75">
      <c r="A261" s="178"/>
      <c r="B261" s="178"/>
      <c r="C261" s="178"/>
      <c r="D261" s="178"/>
      <c r="E261" s="178"/>
      <c r="F261" s="178"/>
      <c r="G261" s="178"/>
    </row>
    <row r="262" spans="1:7" ht="12.75">
      <c r="A262" s="178"/>
      <c r="B262" s="178"/>
      <c r="C262" s="178"/>
      <c r="D262" s="178"/>
      <c r="E262" s="178"/>
      <c r="F262" s="178"/>
      <c r="G262" s="178"/>
    </row>
    <row r="263" spans="1:7" ht="12.75">
      <c r="A263" s="178"/>
      <c r="B263" s="178"/>
      <c r="C263" s="178"/>
      <c r="D263" s="178"/>
      <c r="E263" s="178"/>
      <c r="F263" s="178"/>
      <c r="G263" s="178"/>
    </row>
    <row r="264" spans="1:7" ht="12.75">
      <c r="A264" s="178"/>
      <c r="B264" s="178"/>
      <c r="C264" s="178"/>
      <c r="D264" s="178"/>
      <c r="E264" s="178"/>
      <c r="F264" s="178"/>
      <c r="G264" s="178"/>
    </row>
    <row r="265" spans="1:7" ht="12.75">
      <c r="A265" s="178"/>
      <c r="B265" s="178"/>
      <c r="C265" s="178"/>
      <c r="D265" s="178"/>
      <c r="E265" s="178"/>
      <c r="F265" s="178"/>
      <c r="G265" s="178"/>
    </row>
    <row r="266" spans="1:7" ht="12.75">
      <c r="A266" s="178"/>
      <c r="B266" s="178"/>
      <c r="C266" s="178"/>
      <c r="D266" s="178"/>
      <c r="E266" s="178"/>
      <c r="F266" s="178"/>
      <c r="G266" s="178"/>
    </row>
    <row r="267" spans="1:7" ht="12.75">
      <c r="A267" s="178"/>
      <c r="B267" s="178"/>
      <c r="C267" s="178"/>
      <c r="D267" s="178"/>
      <c r="E267" s="178"/>
      <c r="F267" s="178"/>
      <c r="G267" s="178"/>
    </row>
    <row r="268" spans="1:7" ht="12.75">
      <c r="A268" s="178"/>
      <c r="B268" s="178"/>
      <c r="C268" s="178"/>
      <c r="D268" s="178"/>
      <c r="E268" s="178"/>
      <c r="F268" s="178"/>
      <c r="G268" s="178"/>
    </row>
    <row r="269" spans="1:7" ht="12.75">
      <c r="A269" s="178"/>
      <c r="B269" s="178"/>
      <c r="C269" s="178"/>
      <c r="D269" s="178"/>
      <c r="E269" s="178"/>
      <c r="F269" s="178"/>
      <c r="G269" s="178"/>
    </row>
    <row r="270" spans="1:7" ht="12.75">
      <c r="A270" s="178"/>
      <c r="B270" s="178"/>
      <c r="C270" s="178"/>
      <c r="D270" s="178"/>
      <c r="E270" s="178"/>
      <c r="F270" s="178"/>
      <c r="G270" s="178"/>
    </row>
    <row r="271" spans="1:7" ht="12.75">
      <c r="A271" s="178"/>
      <c r="B271" s="178"/>
      <c r="C271" s="178"/>
      <c r="D271" s="178"/>
      <c r="E271" s="178"/>
      <c r="F271" s="178"/>
      <c r="G271" s="178"/>
    </row>
    <row r="272" spans="1:7" ht="12.75">
      <c r="A272" s="178"/>
      <c r="B272" s="178"/>
      <c r="C272" s="178"/>
      <c r="D272" s="178"/>
      <c r="E272" s="178"/>
      <c r="F272" s="178"/>
      <c r="G272" s="178"/>
    </row>
    <row r="273" spans="1:7" ht="12.75">
      <c r="A273" s="178"/>
      <c r="B273" s="178"/>
      <c r="C273" s="178"/>
      <c r="D273" s="178"/>
      <c r="E273" s="178"/>
      <c r="F273" s="178"/>
      <c r="G273" s="178"/>
    </row>
    <row r="274" spans="1:7" ht="12.75">
      <c r="A274" s="178"/>
      <c r="B274" s="178"/>
      <c r="C274" s="178"/>
      <c r="D274" s="178"/>
      <c r="E274" s="178"/>
      <c r="F274" s="178"/>
      <c r="G274" s="178"/>
    </row>
    <row r="275" spans="1:7" ht="12.75">
      <c r="A275" s="178"/>
      <c r="B275" s="178"/>
      <c r="C275" s="178"/>
      <c r="D275" s="178"/>
      <c r="E275" s="178"/>
      <c r="F275" s="178"/>
      <c r="G275" s="178"/>
    </row>
    <row r="276" spans="1:7" ht="12.75">
      <c r="A276" s="178"/>
      <c r="B276" s="178"/>
      <c r="C276" s="178"/>
      <c r="D276" s="178"/>
      <c r="E276" s="178"/>
      <c r="F276" s="178"/>
      <c r="G276" s="178"/>
    </row>
    <row r="277" spans="1:7" ht="12.75">
      <c r="A277" s="178"/>
      <c r="B277" s="178"/>
      <c r="C277" s="178"/>
      <c r="D277" s="178"/>
      <c r="E277" s="178"/>
      <c r="F277" s="178"/>
      <c r="G277" s="178"/>
    </row>
    <row r="278" spans="1:7" ht="12.75">
      <c r="A278" s="178"/>
      <c r="B278" s="178"/>
      <c r="C278" s="178"/>
      <c r="D278" s="178"/>
      <c r="E278" s="178"/>
      <c r="F278" s="178"/>
      <c r="G278" s="178"/>
    </row>
    <row r="279" spans="1:7" ht="12.75">
      <c r="A279" s="178"/>
      <c r="B279" s="178"/>
      <c r="C279" s="178"/>
      <c r="D279" s="178"/>
      <c r="E279" s="178"/>
      <c r="F279" s="178"/>
      <c r="G279" s="178"/>
    </row>
    <row r="280" spans="1:7" ht="12.75">
      <c r="A280" s="178"/>
      <c r="B280" s="178"/>
      <c r="C280" s="178"/>
      <c r="D280" s="178"/>
      <c r="E280" s="178"/>
      <c r="F280" s="178"/>
      <c r="G280" s="178"/>
    </row>
    <row r="281" spans="1:7" ht="12.75">
      <c r="A281" s="178"/>
      <c r="B281" s="178"/>
      <c r="C281" s="178"/>
      <c r="D281" s="178"/>
      <c r="E281" s="178"/>
      <c r="F281" s="178"/>
      <c r="G281" s="178"/>
    </row>
    <row r="282" spans="1:7" ht="12.75">
      <c r="A282" s="178"/>
      <c r="B282" s="178"/>
      <c r="C282" s="178"/>
      <c r="D282" s="178"/>
      <c r="E282" s="178"/>
      <c r="F282" s="178"/>
      <c r="G282" s="178"/>
    </row>
    <row r="283" spans="1:7" ht="12.75">
      <c r="A283" s="178"/>
      <c r="B283" s="178"/>
      <c r="C283" s="178"/>
      <c r="D283" s="178"/>
      <c r="E283" s="178"/>
      <c r="F283" s="178"/>
      <c r="G283" s="178"/>
    </row>
    <row r="284" spans="1:7" ht="12.75">
      <c r="A284" s="178"/>
      <c r="B284" s="178"/>
      <c r="C284" s="178"/>
      <c r="D284" s="178"/>
      <c r="E284" s="178"/>
      <c r="F284" s="178"/>
      <c r="G284" s="178"/>
    </row>
    <row r="285" spans="1:7" ht="12.75">
      <c r="A285" s="178"/>
      <c r="B285" s="178"/>
      <c r="C285" s="178"/>
      <c r="D285" s="178"/>
      <c r="E285" s="178"/>
      <c r="F285" s="178"/>
      <c r="G285" s="178"/>
    </row>
    <row r="286" spans="1:7" ht="12.75">
      <c r="A286" s="178"/>
      <c r="B286" s="178"/>
      <c r="C286" s="178"/>
      <c r="D286" s="178"/>
      <c r="E286" s="178"/>
      <c r="F286" s="178"/>
      <c r="G286" s="178"/>
    </row>
    <row r="287" spans="1:7" ht="12.75">
      <c r="A287" s="178"/>
      <c r="B287" s="178"/>
      <c r="C287" s="178"/>
      <c r="D287" s="178"/>
      <c r="E287" s="178"/>
      <c r="F287" s="178"/>
      <c r="G287" s="178"/>
    </row>
    <row r="288" spans="1:7" ht="12.75">
      <c r="A288" s="178"/>
      <c r="B288" s="178"/>
      <c r="C288" s="178"/>
      <c r="D288" s="178"/>
      <c r="E288" s="178"/>
      <c r="F288" s="178"/>
      <c r="G288" s="178"/>
    </row>
    <row r="289" spans="1:7" ht="12.75">
      <c r="A289" s="178"/>
      <c r="B289" s="178"/>
      <c r="C289" s="178"/>
      <c r="D289" s="178"/>
      <c r="E289" s="178"/>
      <c r="F289" s="178"/>
      <c r="G289" s="178"/>
    </row>
    <row r="290" spans="1:7" ht="12.75">
      <c r="A290" s="178"/>
      <c r="B290" s="178"/>
      <c r="C290" s="178"/>
      <c r="D290" s="178"/>
      <c r="E290" s="178"/>
      <c r="F290" s="178"/>
      <c r="G290" s="178"/>
    </row>
    <row r="291" spans="1:7" ht="12.75">
      <c r="A291" s="178"/>
      <c r="B291" s="178"/>
      <c r="C291" s="178"/>
      <c r="D291" s="178"/>
      <c r="E291" s="178"/>
      <c r="F291" s="178"/>
      <c r="G291" s="178"/>
    </row>
    <row r="292" spans="1:7" ht="12.75">
      <c r="A292" s="178"/>
      <c r="B292" s="178"/>
      <c r="C292" s="178"/>
      <c r="D292" s="178"/>
      <c r="E292" s="178"/>
      <c r="F292" s="178"/>
      <c r="G292" s="178"/>
    </row>
    <row r="293" spans="1:7" ht="12.75">
      <c r="A293" s="178"/>
      <c r="B293" s="178"/>
      <c r="C293" s="178"/>
      <c r="D293" s="178"/>
      <c r="E293" s="178"/>
      <c r="F293" s="178"/>
      <c r="G293" s="178"/>
    </row>
    <row r="294" spans="1:7" ht="12.75">
      <c r="A294" s="178"/>
      <c r="B294" s="178"/>
      <c r="C294" s="178"/>
      <c r="D294" s="178"/>
      <c r="E294" s="178"/>
      <c r="F294" s="178"/>
      <c r="G294" s="178"/>
    </row>
    <row r="295" spans="1:7" ht="12.75">
      <c r="A295" s="178"/>
      <c r="B295" s="178"/>
      <c r="C295" s="178"/>
      <c r="D295" s="178"/>
      <c r="E295" s="178"/>
      <c r="F295" s="178"/>
      <c r="G295" s="178"/>
    </row>
    <row r="296" spans="1:7" ht="12.75">
      <c r="A296" s="178"/>
      <c r="B296" s="178"/>
      <c r="C296" s="178"/>
      <c r="D296" s="178"/>
      <c r="E296" s="178"/>
      <c r="F296" s="178"/>
      <c r="G296" s="178"/>
    </row>
    <row r="297" spans="1:7" ht="12.75">
      <c r="A297" s="178"/>
      <c r="B297" s="178"/>
      <c r="C297" s="178"/>
      <c r="D297" s="178"/>
      <c r="E297" s="178"/>
      <c r="F297" s="178"/>
      <c r="G297" s="178"/>
    </row>
    <row r="298" spans="1:7" ht="12.75">
      <c r="A298" s="178"/>
      <c r="B298" s="178"/>
      <c r="C298" s="178"/>
      <c r="D298" s="178"/>
      <c r="E298" s="178"/>
      <c r="F298" s="178"/>
      <c r="G298" s="178"/>
    </row>
    <row r="299" spans="1:7" ht="12.75">
      <c r="A299" s="178"/>
      <c r="B299" s="178"/>
      <c r="C299" s="178"/>
      <c r="D299" s="178"/>
      <c r="E299" s="178"/>
      <c r="F299" s="178"/>
      <c r="G299" s="178"/>
    </row>
    <row r="300" spans="1:7" ht="12.75">
      <c r="A300" s="178"/>
      <c r="B300" s="178"/>
      <c r="C300" s="178"/>
      <c r="D300" s="178"/>
      <c r="E300" s="178"/>
      <c r="F300" s="178"/>
      <c r="G300" s="178"/>
    </row>
    <row r="301" spans="1:7" ht="12.75">
      <c r="A301" s="178"/>
      <c r="B301" s="178"/>
      <c r="C301" s="178"/>
      <c r="D301" s="178"/>
      <c r="E301" s="178"/>
      <c r="F301" s="178"/>
      <c r="G301" s="178"/>
    </row>
    <row r="302" spans="1:7" ht="12.75">
      <c r="A302" s="178"/>
      <c r="B302" s="178"/>
      <c r="C302" s="178"/>
      <c r="D302" s="178"/>
      <c r="E302" s="178"/>
      <c r="F302" s="178"/>
      <c r="G302" s="178"/>
    </row>
    <row r="303" spans="1:7" ht="12.75">
      <c r="A303" s="178"/>
      <c r="B303" s="178"/>
      <c r="C303" s="178"/>
      <c r="D303" s="178"/>
      <c r="E303" s="178"/>
      <c r="F303" s="178"/>
      <c r="G303" s="178"/>
    </row>
    <row r="304" spans="1:7" ht="12.75">
      <c r="A304" s="178"/>
      <c r="B304" s="178"/>
      <c r="C304" s="178"/>
      <c r="D304" s="178"/>
      <c r="E304" s="178"/>
      <c r="F304" s="178"/>
      <c r="G304" s="178"/>
    </row>
    <row r="305" spans="1:7" ht="12.75">
      <c r="A305" s="178"/>
      <c r="B305" s="178"/>
      <c r="C305" s="178"/>
      <c r="D305" s="178"/>
      <c r="E305" s="178"/>
      <c r="F305" s="178"/>
      <c r="G305" s="178"/>
    </row>
    <row r="306" spans="1:7" ht="12.75">
      <c r="A306" s="178"/>
      <c r="B306" s="178"/>
      <c r="C306" s="178"/>
      <c r="D306" s="178"/>
      <c r="E306" s="178"/>
      <c r="F306" s="178"/>
      <c r="G306" s="178"/>
    </row>
    <row r="307" spans="1:7" ht="12.75">
      <c r="A307" s="178"/>
      <c r="B307" s="178"/>
      <c r="C307" s="178"/>
      <c r="D307" s="178"/>
      <c r="E307" s="178"/>
      <c r="F307" s="178"/>
      <c r="G307" s="178"/>
    </row>
    <row r="308" spans="1:7" ht="12.75">
      <c r="A308" s="178"/>
      <c r="B308" s="178"/>
      <c r="C308" s="178"/>
      <c r="D308" s="178"/>
      <c r="E308" s="178"/>
      <c r="F308" s="178"/>
      <c r="G308" s="178"/>
    </row>
    <row r="309" spans="1:7" ht="12.75">
      <c r="A309" s="178"/>
      <c r="B309" s="178"/>
      <c r="C309" s="178"/>
      <c r="D309" s="178"/>
      <c r="E309" s="178"/>
      <c r="F309" s="178"/>
      <c r="G309" s="178"/>
    </row>
    <row r="310" spans="1:7" ht="12.75">
      <c r="A310" s="178"/>
      <c r="B310" s="178"/>
      <c r="C310" s="178"/>
      <c r="D310" s="178"/>
      <c r="E310" s="178"/>
      <c r="F310" s="178"/>
      <c r="G310" s="178"/>
    </row>
    <row r="311" spans="1:7" ht="12.75">
      <c r="A311" s="178"/>
      <c r="B311" s="178"/>
      <c r="C311" s="178"/>
      <c r="D311" s="178"/>
      <c r="E311" s="178"/>
      <c r="F311" s="178"/>
      <c r="G311" s="178"/>
    </row>
    <row r="312" spans="1:7" ht="12.75">
      <c r="A312" s="178"/>
      <c r="B312" s="178"/>
      <c r="C312" s="178"/>
      <c r="D312" s="178"/>
      <c r="E312" s="178"/>
      <c r="F312" s="178"/>
      <c r="G312" s="178"/>
    </row>
    <row r="313" spans="1:7" ht="12.75">
      <c r="A313" s="178"/>
      <c r="B313" s="178"/>
      <c r="C313" s="178"/>
      <c r="D313" s="178"/>
      <c r="E313" s="178"/>
      <c r="F313" s="178"/>
      <c r="G313" s="178"/>
    </row>
    <row r="314" spans="1:7" ht="12.75">
      <c r="A314" s="178"/>
      <c r="B314" s="178"/>
      <c r="C314" s="178"/>
      <c r="D314" s="178"/>
      <c r="E314" s="178"/>
      <c r="F314" s="178"/>
      <c r="G314" s="178"/>
    </row>
    <row r="315" spans="1:7" ht="12.75">
      <c r="A315" s="178"/>
      <c r="B315" s="178"/>
      <c r="C315" s="178"/>
      <c r="D315" s="178"/>
      <c r="E315" s="178"/>
      <c r="F315" s="178"/>
      <c r="G315" s="178"/>
    </row>
    <row r="316" spans="1:7" ht="12.75">
      <c r="A316" s="178"/>
      <c r="B316" s="178"/>
      <c r="C316" s="178"/>
      <c r="D316" s="178"/>
      <c r="E316" s="178"/>
      <c r="F316" s="178"/>
      <c r="G316" s="178"/>
    </row>
    <row r="317" spans="1:7" ht="12.75">
      <c r="A317" s="178"/>
      <c r="B317" s="178"/>
      <c r="C317" s="178"/>
      <c r="D317" s="178"/>
      <c r="E317" s="178"/>
      <c r="F317" s="178"/>
      <c r="G317" s="178"/>
    </row>
    <row r="318" spans="1:7" ht="12.75">
      <c r="A318" s="178"/>
      <c r="B318" s="178"/>
      <c r="C318" s="178"/>
      <c r="D318" s="178"/>
      <c r="E318" s="178"/>
      <c r="F318" s="178"/>
      <c r="G318" s="178"/>
    </row>
    <row r="319" spans="1:7" ht="12.75">
      <c r="A319" s="178"/>
      <c r="B319" s="178"/>
      <c r="C319" s="178"/>
      <c r="D319" s="178"/>
      <c r="E319" s="178"/>
      <c r="F319" s="178"/>
      <c r="G319" s="178"/>
    </row>
    <row r="320" spans="1:7" ht="12.75">
      <c r="A320" s="178"/>
      <c r="B320" s="178"/>
      <c r="C320" s="178"/>
      <c r="D320" s="178"/>
      <c r="E320" s="178"/>
      <c r="F320" s="178"/>
      <c r="G320" s="178"/>
    </row>
    <row r="321" spans="1:7" ht="12.75">
      <c r="A321" s="178"/>
      <c r="B321" s="178"/>
      <c r="C321" s="178"/>
      <c r="D321" s="178"/>
      <c r="E321" s="178"/>
      <c r="F321" s="178"/>
      <c r="G321" s="178"/>
    </row>
    <row r="322" spans="1:7" ht="12.75">
      <c r="A322" s="178"/>
      <c r="B322" s="178"/>
      <c r="C322" s="178"/>
      <c r="D322" s="178"/>
      <c r="E322" s="178"/>
      <c r="F322" s="178"/>
      <c r="G322" s="178"/>
    </row>
    <row r="323" spans="1:7" ht="12.75">
      <c r="A323" s="178"/>
      <c r="B323" s="178"/>
      <c r="C323" s="178"/>
      <c r="D323" s="178"/>
      <c r="E323" s="178"/>
      <c r="F323" s="178"/>
      <c r="G323" s="178"/>
    </row>
    <row r="324" spans="1:7" ht="12.75">
      <c r="A324" s="178"/>
      <c r="B324" s="178"/>
      <c r="C324" s="178"/>
      <c r="D324" s="178"/>
      <c r="E324" s="178"/>
      <c r="F324" s="178"/>
      <c r="G324" s="178"/>
    </row>
    <row r="325" spans="1:7" ht="12.75">
      <c r="A325" s="178"/>
      <c r="B325" s="178"/>
      <c r="C325" s="178"/>
      <c r="D325" s="178"/>
      <c r="E325" s="178"/>
      <c r="F325" s="178"/>
      <c r="G325" s="178"/>
    </row>
    <row r="326" spans="1:7" ht="12.75">
      <c r="A326" s="178"/>
      <c r="B326" s="178"/>
      <c r="C326" s="178"/>
      <c r="D326" s="178"/>
      <c r="E326" s="178"/>
      <c r="F326" s="178"/>
      <c r="G326" s="178"/>
    </row>
    <row r="327" spans="1:7" ht="12.75">
      <c r="A327" s="178"/>
      <c r="B327" s="178"/>
      <c r="C327" s="178"/>
      <c r="D327" s="178"/>
      <c r="E327" s="178"/>
      <c r="F327" s="178"/>
      <c r="G327" s="178"/>
    </row>
    <row r="328" spans="1:7" ht="12.75">
      <c r="A328" s="178"/>
      <c r="B328" s="178"/>
      <c r="C328" s="178"/>
      <c r="D328" s="178"/>
      <c r="E328" s="178"/>
      <c r="F328" s="178"/>
      <c r="G328" s="178"/>
    </row>
    <row r="329" spans="1:7" ht="12.75">
      <c r="A329" s="178"/>
      <c r="B329" s="178"/>
      <c r="C329" s="178"/>
      <c r="D329" s="178"/>
      <c r="E329" s="178"/>
      <c r="F329" s="178"/>
      <c r="G329" s="178"/>
    </row>
    <row r="330" spans="1:7" ht="12.75">
      <c r="A330" s="178"/>
      <c r="B330" s="178"/>
      <c r="C330" s="178"/>
      <c r="D330" s="178"/>
      <c r="E330" s="178"/>
      <c r="F330" s="178"/>
      <c r="G330" s="178"/>
    </row>
    <row r="331" spans="1:7" ht="12.75">
      <c r="A331" s="178"/>
      <c r="B331" s="178"/>
      <c r="C331" s="178"/>
      <c r="D331" s="178"/>
      <c r="E331" s="178"/>
      <c r="F331" s="178"/>
      <c r="G331" s="178"/>
    </row>
    <row r="332" spans="1:7" ht="12.75">
      <c r="A332" s="178"/>
      <c r="B332" s="178"/>
      <c r="C332" s="178"/>
      <c r="D332" s="178"/>
      <c r="E332" s="178"/>
      <c r="F332" s="178"/>
      <c r="G332" s="178"/>
    </row>
    <row r="333" spans="1:7" ht="12.75">
      <c r="A333" s="178"/>
      <c r="B333" s="178"/>
      <c r="C333" s="178"/>
      <c r="D333" s="178"/>
      <c r="E333" s="178"/>
      <c r="F333" s="178"/>
      <c r="G333" s="178"/>
    </row>
    <row r="334" spans="1:7" ht="12.75">
      <c r="A334" s="178"/>
      <c r="B334" s="178"/>
      <c r="C334" s="178"/>
      <c r="D334" s="178"/>
      <c r="E334" s="178"/>
      <c r="F334" s="178"/>
      <c r="G334" s="178"/>
    </row>
    <row r="335" spans="1:7" ht="12.75">
      <c r="A335" s="178"/>
      <c r="B335" s="178"/>
      <c r="C335" s="178"/>
      <c r="D335" s="178"/>
      <c r="E335" s="178"/>
      <c r="F335" s="178"/>
      <c r="G335" s="178"/>
    </row>
    <row r="336" spans="1:7" ht="12.75">
      <c r="A336" s="178"/>
      <c r="B336" s="178"/>
      <c r="C336" s="178"/>
      <c r="D336" s="178"/>
      <c r="E336" s="178"/>
      <c r="F336" s="178"/>
      <c r="G336" s="178"/>
    </row>
    <row r="337" spans="1:7" ht="12.75">
      <c r="A337" s="178"/>
      <c r="B337" s="178"/>
      <c r="C337" s="178"/>
      <c r="D337" s="178"/>
      <c r="E337" s="178"/>
      <c r="F337" s="178"/>
      <c r="G337" s="178"/>
    </row>
    <row r="338" spans="1:7" ht="12.75">
      <c r="A338" s="178"/>
      <c r="B338" s="178"/>
      <c r="C338" s="178"/>
      <c r="D338" s="178"/>
      <c r="E338" s="178"/>
      <c r="F338" s="178"/>
      <c r="G338" s="178"/>
    </row>
    <row r="339" spans="1:7" ht="12.75">
      <c r="A339" s="178"/>
      <c r="B339" s="178"/>
      <c r="C339" s="178"/>
      <c r="D339" s="178"/>
      <c r="E339" s="178"/>
      <c r="F339" s="178"/>
      <c r="G339" s="178"/>
    </row>
    <row r="340" spans="1:7" ht="12.75">
      <c r="A340" s="178"/>
      <c r="B340" s="178"/>
      <c r="C340" s="178"/>
      <c r="D340" s="178"/>
      <c r="E340" s="178"/>
      <c r="F340" s="178"/>
      <c r="G340" s="178"/>
    </row>
    <row r="341" spans="1:7" ht="12.75">
      <c r="A341" s="178"/>
      <c r="B341" s="178"/>
      <c r="C341" s="178"/>
      <c r="D341" s="178"/>
      <c r="E341" s="178"/>
      <c r="F341" s="178"/>
      <c r="G341" s="178"/>
    </row>
    <row r="342" spans="1:7" ht="12.75">
      <c r="A342" s="178"/>
      <c r="B342" s="178"/>
      <c r="C342" s="178"/>
      <c r="D342" s="178"/>
      <c r="E342" s="178"/>
      <c r="F342" s="178"/>
      <c r="G342" s="178"/>
    </row>
    <row r="343" spans="1:7" ht="12.75">
      <c r="A343" s="178"/>
      <c r="B343" s="178"/>
      <c r="C343" s="178"/>
      <c r="D343" s="178"/>
      <c r="E343" s="178"/>
      <c r="F343" s="178"/>
      <c r="G343" s="178"/>
    </row>
    <row r="344" spans="1:7" ht="12.75">
      <c r="A344" s="178"/>
      <c r="B344" s="178"/>
      <c r="C344" s="178"/>
      <c r="D344" s="178"/>
      <c r="E344" s="178"/>
      <c r="F344" s="178"/>
      <c r="G344" s="178"/>
    </row>
    <row r="345" spans="1:7" ht="12.75">
      <c r="A345" s="178"/>
      <c r="B345" s="178"/>
      <c r="C345" s="178"/>
      <c r="D345" s="178"/>
      <c r="E345" s="178"/>
      <c r="F345" s="178"/>
      <c r="G345" s="178"/>
    </row>
    <row r="346" spans="1:7" ht="12.75">
      <c r="A346" s="178"/>
      <c r="B346" s="178"/>
      <c r="C346" s="178"/>
      <c r="D346" s="178"/>
      <c r="E346" s="178"/>
      <c r="F346" s="178"/>
      <c r="G346" s="178"/>
    </row>
    <row r="347" spans="1:7" ht="12.75">
      <c r="A347" s="178"/>
      <c r="B347" s="178"/>
      <c r="C347" s="178"/>
      <c r="D347" s="178"/>
      <c r="E347" s="178"/>
      <c r="F347" s="178"/>
      <c r="G347" s="178"/>
    </row>
    <row r="348" spans="1:7" ht="12.75">
      <c r="A348" s="178"/>
      <c r="B348" s="178"/>
      <c r="C348" s="178"/>
      <c r="D348" s="178"/>
      <c r="E348" s="178"/>
      <c r="F348" s="178"/>
      <c r="G348" s="178"/>
    </row>
    <row r="349" spans="1:7" ht="12.75">
      <c r="A349" s="178"/>
      <c r="B349" s="178"/>
      <c r="C349" s="178"/>
      <c r="D349" s="178"/>
      <c r="E349" s="178"/>
      <c r="F349" s="178"/>
      <c r="G349" s="178"/>
    </row>
    <row r="350" spans="1:7" ht="12.75">
      <c r="A350" s="178"/>
      <c r="B350" s="178"/>
      <c r="C350" s="178"/>
      <c r="D350" s="178"/>
      <c r="E350" s="178"/>
      <c r="F350" s="178"/>
      <c r="G350" s="178"/>
    </row>
    <row r="351" spans="1:7" ht="12.75">
      <c r="A351" s="178"/>
      <c r="B351" s="178"/>
      <c r="C351" s="178"/>
      <c r="D351" s="178"/>
      <c r="E351" s="178"/>
      <c r="F351" s="178"/>
      <c r="G351" s="178"/>
    </row>
    <row r="352" spans="1:7" ht="12.75">
      <c r="A352" s="178"/>
      <c r="B352" s="178"/>
      <c r="C352" s="178"/>
      <c r="D352" s="178"/>
      <c r="E352" s="178"/>
      <c r="F352" s="178"/>
      <c r="G352" s="178"/>
    </row>
    <row r="353" spans="1:7" ht="12.75">
      <c r="A353" s="178"/>
      <c r="B353" s="178"/>
      <c r="C353" s="178"/>
      <c r="D353" s="178"/>
      <c r="E353" s="178"/>
      <c r="F353" s="178"/>
      <c r="G353" s="178"/>
    </row>
    <row r="354" spans="1:7" ht="12.75">
      <c r="A354" s="178"/>
      <c r="B354" s="178"/>
      <c r="C354" s="178"/>
      <c r="D354" s="178"/>
      <c r="E354" s="178"/>
      <c r="F354" s="178"/>
      <c r="G354" s="178"/>
    </row>
    <row r="355" spans="1:7" ht="12.75">
      <c r="A355" s="178"/>
      <c r="B355" s="178"/>
      <c r="C355" s="178"/>
      <c r="D355" s="178"/>
      <c r="E355" s="178"/>
      <c r="F355" s="178"/>
      <c r="G355" s="178"/>
    </row>
    <row r="356" spans="1:7" ht="12.75">
      <c r="A356" s="178"/>
      <c r="B356" s="178"/>
      <c r="C356" s="178"/>
      <c r="D356" s="178"/>
      <c r="E356" s="178"/>
      <c r="F356" s="178"/>
      <c r="G356" s="178"/>
    </row>
    <row r="357" spans="1:7" ht="12.75">
      <c r="A357" s="178"/>
      <c r="B357" s="178"/>
      <c r="C357" s="178"/>
      <c r="D357" s="178"/>
      <c r="E357" s="178"/>
      <c r="F357" s="178"/>
      <c r="G357" s="178"/>
    </row>
    <row r="358" spans="1:7" ht="12.75">
      <c r="A358" s="178"/>
      <c r="B358" s="178"/>
      <c r="C358" s="178"/>
      <c r="D358" s="178"/>
      <c r="E358" s="178"/>
      <c r="F358" s="178"/>
      <c r="G358" s="178"/>
    </row>
    <row r="359" spans="1:7" ht="12.75">
      <c r="A359" s="178"/>
      <c r="B359" s="178"/>
      <c r="C359" s="178"/>
      <c r="D359" s="178"/>
      <c r="E359" s="178"/>
      <c r="F359" s="178"/>
      <c r="G359" s="178"/>
    </row>
    <row r="360" spans="1:7" ht="12.75">
      <c r="A360" s="178"/>
      <c r="B360" s="178"/>
      <c r="C360" s="178"/>
      <c r="D360" s="178"/>
      <c r="E360" s="178"/>
      <c r="F360" s="178"/>
      <c r="G360" s="178"/>
    </row>
    <row r="361" spans="1:7" ht="12.75">
      <c r="A361" s="178"/>
      <c r="B361" s="178"/>
      <c r="C361" s="178"/>
      <c r="D361" s="178"/>
      <c r="E361" s="178"/>
      <c r="F361" s="178"/>
      <c r="G361" s="178"/>
    </row>
    <row r="362" spans="1:7" ht="12.75">
      <c r="A362" s="178"/>
      <c r="B362" s="178"/>
      <c r="C362" s="178"/>
      <c r="D362" s="178"/>
      <c r="E362" s="178"/>
      <c r="F362" s="178"/>
      <c r="G362" s="178"/>
    </row>
    <row r="363" spans="1:7" ht="12.75">
      <c r="A363" s="178"/>
      <c r="B363" s="178"/>
      <c r="C363" s="178"/>
      <c r="D363" s="178"/>
      <c r="E363" s="178"/>
      <c r="F363" s="178"/>
      <c r="G363" s="178"/>
    </row>
    <row r="364" spans="1:7" ht="12.75">
      <c r="A364" s="178"/>
      <c r="B364" s="178"/>
      <c r="C364" s="178"/>
      <c r="D364" s="178"/>
      <c r="E364" s="178"/>
      <c r="F364" s="178"/>
      <c r="G364" s="178"/>
    </row>
    <row r="365" spans="1:7" ht="12.75">
      <c r="A365" s="178"/>
      <c r="B365" s="178"/>
      <c r="C365" s="178"/>
      <c r="D365" s="178"/>
      <c r="E365" s="178"/>
      <c r="F365" s="178"/>
      <c r="G365" s="178"/>
    </row>
    <row r="366" spans="1:7" ht="12.75">
      <c r="A366" s="178"/>
      <c r="B366" s="178"/>
      <c r="C366" s="178"/>
      <c r="D366" s="178"/>
      <c r="E366" s="178"/>
      <c r="F366" s="178"/>
      <c r="G366" s="178"/>
    </row>
    <row r="367" spans="1:7" ht="12.75">
      <c r="A367" s="178"/>
      <c r="B367" s="178"/>
      <c r="C367" s="178"/>
      <c r="D367" s="178"/>
      <c r="E367" s="178"/>
      <c r="F367" s="178"/>
      <c r="G367" s="178"/>
    </row>
    <row r="368" spans="1:7" ht="12.75">
      <c r="A368" s="178"/>
      <c r="B368" s="178"/>
      <c r="C368" s="178"/>
      <c r="D368" s="178"/>
      <c r="E368" s="178"/>
      <c r="F368" s="178"/>
      <c r="G368" s="178"/>
    </row>
    <row r="369" spans="1:7" ht="12.75">
      <c r="A369" s="178"/>
      <c r="B369" s="178"/>
      <c r="C369" s="178"/>
      <c r="D369" s="178"/>
      <c r="E369" s="178"/>
      <c r="F369" s="178"/>
      <c r="G369" s="178"/>
    </row>
    <row r="370" spans="1:7" ht="12.75">
      <c r="A370" s="178"/>
      <c r="B370" s="178"/>
      <c r="C370" s="178"/>
      <c r="D370" s="178"/>
      <c r="E370" s="178"/>
      <c r="F370" s="178"/>
      <c r="G370" s="178"/>
    </row>
    <row r="371" spans="1:7" ht="12.75">
      <c r="A371" s="178"/>
      <c r="B371" s="178"/>
      <c r="C371" s="178"/>
      <c r="D371" s="178"/>
      <c r="E371" s="178"/>
      <c r="F371" s="178"/>
      <c r="G371" s="178"/>
    </row>
    <row r="372" spans="1:7" ht="12.75">
      <c r="A372" s="178"/>
      <c r="B372" s="178"/>
      <c r="C372" s="178"/>
      <c r="D372" s="178"/>
      <c r="E372" s="178"/>
      <c r="F372" s="178"/>
      <c r="G372" s="178"/>
    </row>
    <row r="373" spans="1:7" ht="12.75">
      <c r="A373" s="178"/>
      <c r="B373" s="178"/>
      <c r="C373" s="178"/>
      <c r="D373" s="178"/>
      <c r="E373" s="178"/>
      <c r="F373" s="178"/>
      <c r="G373" s="178"/>
    </row>
    <row r="374" spans="1:7" ht="12.75">
      <c r="A374" s="178"/>
      <c r="B374" s="178"/>
      <c r="C374" s="178"/>
      <c r="D374" s="178"/>
      <c r="E374" s="178"/>
      <c r="F374" s="178"/>
      <c r="G374" s="178"/>
    </row>
    <row r="375" spans="1:7" ht="12.75">
      <c r="A375" s="178"/>
      <c r="B375" s="178"/>
      <c r="C375" s="178"/>
      <c r="D375" s="178"/>
      <c r="E375" s="178"/>
      <c r="F375" s="178"/>
      <c r="G375" s="178"/>
    </row>
    <row r="376" spans="1:7" ht="12.75">
      <c r="A376" s="178"/>
      <c r="B376" s="178"/>
      <c r="C376" s="178"/>
      <c r="D376" s="178"/>
      <c r="E376" s="178"/>
      <c r="F376" s="178"/>
      <c r="G376" s="178"/>
    </row>
    <row r="377" spans="1:7" ht="12.75">
      <c r="A377" s="178"/>
      <c r="B377" s="178"/>
      <c r="C377" s="178"/>
      <c r="D377" s="178"/>
      <c r="E377" s="178"/>
      <c r="F377" s="178"/>
      <c r="G377" s="178"/>
    </row>
    <row r="378" spans="1:7" ht="12.75">
      <c r="A378" s="178"/>
      <c r="B378" s="178"/>
      <c r="C378" s="178"/>
      <c r="D378" s="178"/>
      <c r="E378" s="178"/>
      <c r="F378" s="178"/>
      <c r="G378" s="178"/>
    </row>
    <row r="379" spans="1:7" ht="12.75">
      <c r="A379" s="178"/>
      <c r="B379" s="178"/>
      <c r="C379" s="178"/>
      <c r="D379" s="178"/>
      <c r="E379" s="178"/>
      <c r="F379" s="178"/>
      <c r="G379" s="178"/>
    </row>
    <row r="380" spans="1:7" ht="12.75">
      <c r="A380" s="178"/>
      <c r="B380" s="178"/>
      <c r="C380" s="178"/>
      <c r="D380" s="178"/>
      <c r="E380" s="178"/>
      <c r="F380" s="178"/>
      <c r="G380" s="178"/>
    </row>
    <row r="381" spans="1:7" ht="12.75">
      <c r="A381" s="178"/>
      <c r="B381" s="178"/>
      <c r="C381" s="178"/>
      <c r="D381" s="178"/>
      <c r="E381" s="178"/>
      <c r="F381" s="178"/>
      <c r="G381" s="178"/>
    </row>
    <row r="382" spans="1:7" ht="12.75">
      <c r="A382" s="178"/>
      <c r="B382" s="178"/>
      <c r="C382" s="178"/>
      <c r="D382" s="178"/>
      <c r="E382" s="178"/>
      <c r="F382" s="178"/>
      <c r="G382" s="178"/>
    </row>
    <row r="383" spans="1:7" ht="12.75">
      <c r="A383" s="178"/>
      <c r="B383" s="178"/>
      <c r="C383" s="178"/>
      <c r="D383" s="178"/>
      <c r="E383" s="178"/>
      <c r="F383" s="178"/>
      <c r="G383" s="178"/>
    </row>
    <row r="384" spans="1:7" ht="12.75">
      <c r="A384" s="178"/>
      <c r="B384" s="178"/>
      <c r="C384" s="178"/>
      <c r="D384" s="178"/>
      <c r="E384" s="178"/>
      <c r="F384" s="178"/>
      <c r="G384" s="178"/>
    </row>
    <row r="385" spans="1:7" ht="12.75">
      <c r="A385" s="178"/>
      <c r="B385" s="178"/>
      <c r="C385" s="178"/>
      <c r="D385" s="178"/>
      <c r="E385" s="178"/>
      <c r="F385" s="178"/>
      <c r="G385" s="178"/>
    </row>
    <row r="386" spans="1:7" ht="12.75">
      <c r="A386" s="178"/>
      <c r="B386" s="178"/>
      <c r="C386" s="178"/>
      <c r="D386" s="178"/>
      <c r="E386" s="178"/>
      <c r="F386" s="178"/>
      <c r="G386" s="178"/>
    </row>
    <row r="387" spans="1:7" ht="12.75">
      <c r="A387" s="178"/>
      <c r="B387" s="178"/>
      <c r="C387" s="178"/>
      <c r="D387" s="178"/>
      <c r="E387" s="178"/>
      <c r="F387" s="178"/>
      <c r="G387" s="178"/>
    </row>
    <row r="388" spans="1:7" ht="12.75">
      <c r="A388" s="178"/>
      <c r="B388" s="178"/>
      <c r="C388" s="178"/>
      <c r="D388" s="178"/>
      <c r="E388" s="178"/>
      <c r="F388" s="178"/>
      <c r="G388" s="178"/>
    </row>
    <row r="389" spans="1:7" ht="12.75">
      <c r="A389" s="178"/>
      <c r="B389" s="178"/>
      <c r="C389" s="178"/>
      <c r="D389" s="178"/>
      <c r="E389" s="178"/>
      <c r="F389" s="178"/>
      <c r="G389" s="178"/>
    </row>
    <row r="390" spans="1:7" ht="12.75">
      <c r="A390" s="178"/>
      <c r="B390" s="178"/>
      <c r="C390" s="178"/>
      <c r="D390" s="178"/>
      <c r="E390" s="178"/>
      <c r="F390" s="178"/>
      <c r="G390" s="178"/>
    </row>
    <row r="391" spans="1:7" ht="12.75">
      <c r="A391" s="178"/>
      <c r="B391" s="178"/>
      <c r="C391" s="178"/>
      <c r="D391" s="178"/>
      <c r="E391" s="178"/>
      <c r="F391" s="178"/>
      <c r="G391" s="178"/>
    </row>
    <row r="392" spans="1:7" ht="12.75">
      <c r="A392" s="178"/>
      <c r="B392" s="178"/>
      <c r="C392" s="178"/>
      <c r="D392" s="178"/>
      <c r="E392" s="178"/>
      <c r="F392" s="178"/>
      <c r="G392" s="178"/>
    </row>
    <row r="393" spans="1:7" ht="12.75">
      <c r="A393" s="178"/>
      <c r="B393" s="178"/>
      <c r="C393" s="178"/>
      <c r="D393" s="178"/>
      <c r="E393" s="178"/>
      <c r="F393" s="178"/>
      <c r="G393" s="178"/>
    </row>
    <row r="394" spans="1:7" ht="12.75">
      <c r="A394" s="178"/>
      <c r="B394" s="178"/>
      <c r="C394" s="178"/>
      <c r="D394" s="178"/>
      <c r="E394" s="178"/>
      <c r="F394" s="178"/>
      <c r="G394" s="178"/>
    </row>
    <row r="395" spans="1:7" ht="12.75">
      <c r="A395" s="178"/>
      <c r="B395" s="178"/>
      <c r="C395" s="178"/>
      <c r="D395" s="178"/>
      <c r="E395" s="178"/>
      <c r="F395" s="178"/>
      <c r="G395" s="178"/>
    </row>
    <row r="396" spans="1:7" ht="12.75">
      <c r="A396" s="178"/>
      <c r="B396" s="178"/>
      <c r="C396" s="178"/>
      <c r="D396" s="178"/>
      <c r="E396" s="178"/>
      <c r="F396" s="178"/>
      <c r="G396" s="178"/>
    </row>
    <row r="397" spans="1:7" ht="12.75">
      <c r="A397" s="178"/>
      <c r="B397" s="178"/>
      <c r="C397" s="178"/>
      <c r="D397" s="178"/>
      <c r="E397" s="178"/>
      <c r="F397" s="178"/>
      <c r="G397" s="178"/>
    </row>
    <row r="398" spans="1:7" ht="12.75">
      <c r="A398" s="178"/>
      <c r="B398" s="178"/>
      <c r="C398" s="178"/>
      <c r="D398" s="178"/>
      <c r="E398" s="178"/>
      <c r="F398" s="178"/>
      <c r="G398" s="178"/>
    </row>
    <row r="399" spans="1:7" ht="12.75">
      <c r="A399" s="178"/>
      <c r="B399" s="178"/>
      <c r="C399" s="178"/>
      <c r="D399" s="178"/>
      <c r="E399" s="178"/>
      <c r="F399" s="178"/>
      <c r="G399" s="178"/>
    </row>
    <row r="400" spans="1:7" ht="12.75">
      <c r="A400" s="178"/>
      <c r="B400" s="178"/>
      <c r="C400" s="178"/>
      <c r="D400" s="178"/>
      <c r="E400" s="178"/>
      <c r="F400" s="178"/>
      <c r="G400" s="178"/>
    </row>
    <row r="401" spans="1:7" ht="12.75">
      <c r="A401" s="178"/>
      <c r="B401" s="178"/>
      <c r="C401" s="178"/>
      <c r="D401" s="178"/>
      <c r="E401" s="178"/>
      <c r="F401" s="178"/>
      <c r="G401" s="178"/>
    </row>
    <row r="402" spans="1:7" ht="12.75">
      <c r="A402" s="178"/>
      <c r="B402" s="178"/>
      <c r="C402" s="178"/>
      <c r="D402" s="178"/>
      <c r="E402" s="178"/>
      <c r="F402" s="178"/>
      <c r="G402" s="178"/>
    </row>
    <row r="403" spans="1:7" ht="12.75">
      <c r="A403" s="178"/>
      <c r="B403" s="178"/>
      <c r="C403" s="178"/>
      <c r="D403" s="178"/>
      <c r="E403" s="178"/>
      <c r="F403" s="178"/>
      <c r="G403" s="178"/>
    </row>
    <row r="404" spans="1:7" ht="12.75">
      <c r="A404" s="178"/>
      <c r="B404" s="178"/>
      <c r="C404" s="178"/>
      <c r="D404" s="178"/>
      <c r="E404" s="178"/>
      <c r="F404" s="178"/>
      <c r="G404" s="178"/>
    </row>
    <row r="405" spans="1:7" ht="12.75">
      <c r="A405" s="178"/>
      <c r="B405" s="178"/>
      <c r="C405" s="178"/>
      <c r="D405" s="178"/>
      <c r="E405" s="178"/>
      <c r="F405" s="178"/>
      <c r="G405" s="178"/>
    </row>
    <row r="406" spans="1:7" ht="12.75">
      <c r="A406" s="178"/>
      <c r="B406" s="178"/>
      <c r="C406" s="178"/>
      <c r="D406" s="178"/>
      <c r="E406" s="178"/>
      <c r="F406" s="178"/>
      <c r="G406" s="178"/>
    </row>
    <row r="407" spans="1:7" ht="12.75">
      <c r="A407" s="178"/>
      <c r="B407" s="178"/>
      <c r="C407" s="178"/>
      <c r="D407" s="178"/>
      <c r="E407" s="178"/>
      <c r="F407" s="178"/>
      <c r="G407" s="178"/>
    </row>
    <row r="408" spans="1:7" ht="12.75">
      <c r="A408" s="178"/>
      <c r="B408" s="178"/>
      <c r="C408" s="178"/>
      <c r="D408" s="178"/>
      <c r="E408" s="178"/>
      <c r="F408" s="178"/>
      <c r="G408" s="178"/>
    </row>
    <row r="409" spans="1:7" ht="12.75">
      <c r="A409" s="178"/>
      <c r="B409" s="178"/>
      <c r="C409" s="178"/>
      <c r="D409" s="178"/>
      <c r="E409" s="178"/>
      <c r="F409" s="178"/>
      <c r="G409" s="178"/>
    </row>
    <row r="410" spans="1:7" ht="12.75">
      <c r="A410" s="178"/>
      <c r="B410" s="178"/>
      <c r="C410" s="178"/>
      <c r="D410" s="178"/>
      <c r="E410" s="178"/>
      <c r="F410" s="178"/>
      <c r="G410" s="178"/>
    </row>
    <row r="411" spans="1:7" ht="12.75">
      <c r="A411" s="178"/>
      <c r="B411" s="178"/>
      <c r="C411" s="178"/>
      <c r="D411" s="178"/>
      <c r="E411" s="178"/>
      <c r="F411" s="178"/>
      <c r="G411" s="178"/>
    </row>
    <row r="412" spans="1:7" ht="12.75">
      <c r="A412" s="178"/>
      <c r="B412" s="178"/>
      <c r="C412" s="178"/>
      <c r="D412" s="178"/>
      <c r="E412" s="178"/>
      <c r="F412" s="178"/>
      <c r="G412" s="178"/>
    </row>
    <row r="413" spans="1:7" ht="12.75">
      <c r="A413" s="178"/>
      <c r="B413" s="178"/>
      <c r="C413" s="178"/>
      <c r="D413" s="178"/>
      <c r="E413" s="178"/>
      <c r="F413" s="178"/>
      <c r="G413" s="178"/>
    </row>
    <row r="414" spans="1:7" ht="12.75">
      <c r="A414" s="178"/>
      <c r="B414" s="178"/>
      <c r="C414" s="178"/>
      <c r="D414" s="178"/>
      <c r="E414" s="178"/>
      <c r="F414" s="178"/>
      <c r="G414" s="178"/>
    </row>
    <row r="415" spans="1:7" ht="12.75">
      <c r="A415" s="178"/>
      <c r="B415" s="178"/>
      <c r="C415" s="178"/>
      <c r="D415" s="178"/>
      <c r="E415" s="178"/>
      <c r="F415" s="178"/>
      <c r="G415" s="178"/>
    </row>
    <row r="416" spans="1:7" ht="12.75">
      <c r="A416" s="178"/>
      <c r="B416" s="178"/>
      <c r="C416" s="178"/>
      <c r="D416" s="178"/>
      <c r="E416" s="178"/>
      <c r="F416" s="178"/>
      <c r="G416" s="178"/>
    </row>
    <row r="417" spans="1:7" ht="12.75">
      <c r="A417" s="178"/>
      <c r="B417" s="178"/>
      <c r="C417" s="178"/>
      <c r="D417" s="178"/>
      <c r="E417" s="178"/>
      <c r="F417" s="178"/>
      <c r="G417" s="178"/>
    </row>
    <row r="418" spans="1:7" ht="12.75">
      <c r="A418" s="178"/>
      <c r="B418" s="178"/>
      <c r="C418" s="178"/>
      <c r="D418" s="178"/>
      <c r="E418" s="178"/>
      <c r="F418" s="178"/>
      <c r="G418" s="178"/>
    </row>
    <row r="419" spans="1:7" ht="12.75">
      <c r="A419" s="178"/>
      <c r="B419" s="178"/>
      <c r="C419" s="178"/>
      <c r="D419" s="178"/>
      <c r="E419" s="178"/>
      <c r="F419" s="178"/>
      <c r="G419" s="178"/>
    </row>
    <row r="420" spans="1:7" ht="12.75">
      <c r="A420" s="178"/>
      <c r="B420" s="178"/>
      <c r="C420" s="178"/>
      <c r="D420" s="178"/>
      <c r="E420" s="178"/>
      <c r="F420" s="178"/>
      <c r="G420" s="178"/>
    </row>
    <row r="421" spans="1:7" ht="12.75">
      <c r="A421" s="178"/>
      <c r="B421" s="178"/>
      <c r="C421" s="178"/>
      <c r="D421" s="178"/>
      <c r="E421" s="178"/>
      <c r="F421" s="178"/>
      <c r="G421" s="178"/>
    </row>
    <row r="422" spans="1:7" ht="12.75">
      <c r="A422" s="178"/>
      <c r="B422" s="178"/>
      <c r="C422" s="178"/>
      <c r="D422" s="178"/>
      <c r="E422" s="178"/>
      <c r="F422" s="178"/>
      <c r="G422" s="178"/>
    </row>
    <row r="423" spans="1:7" ht="12.75">
      <c r="A423" s="178"/>
      <c r="B423" s="178"/>
      <c r="C423" s="178"/>
      <c r="D423" s="178"/>
      <c r="E423" s="178"/>
      <c r="F423" s="178"/>
      <c r="G423" s="178"/>
    </row>
    <row r="424" spans="1:7" ht="12.75">
      <c r="A424" s="178"/>
      <c r="B424" s="178"/>
      <c r="C424" s="178"/>
      <c r="D424" s="178"/>
      <c r="E424" s="178"/>
      <c r="F424" s="178"/>
      <c r="G424" s="178"/>
    </row>
    <row r="425" spans="1:7" ht="12.75">
      <c r="A425" s="178"/>
      <c r="B425" s="178"/>
      <c r="C425" s="178"/>
      <c r="D425" s="178"/>
      <c r="E425" s="178"/>
      <c r="F425" s="178"/>
      <c r="G425" s="178"/>
    </row>
    <row r="426" spans="1:7" ht="12.75">
      <c r="A426" s="178"/>
      <c r="B426" s="178"/>
      <c r="C426" s="178"/>
      <c r="D426" s="178"/>
      <c r="E426" s="178"/>
      <c r="F426" s="178"/>
      <c r="G426" s="178"/>
    </row>
    <row r="427" spans="1:7" ht="12.75">
      <c r="A427" s="178"/>
      <c r="B427" s="178"/>
      <c r="C427" s="178"/>
      <c r="D427" s="178"/>
      <c r="E427" s="178"/>
      <c r="F427" s="178"/>
      <c r="G427" s="178"/>
    </row>
    <row r="428" spans="1:7" ht="12.75">
      <c r="A428" s="178"/>
      <c r="B428" s="178"/>
      <c r="C428" s="178"/>
      <c r="D428" s="178"/>
      <c r="E428" s="178"/>
      <c r="F428" s="178"/>
      <c r="G428" s="178"/>
    </row>
    <row r="429" spans="1:7" ht="12.75">
      <c r="A429" s="178"/>
      <c r="B429" s="178"/>
      <c r="C429" s="178"/>
      <c r="D429" s="178"/>
      <c r="E429" s="178"/>
      <c r="F429" s="178"/>
      <c r="G429" s="178"/>
    </row>
    <row r="430" spans="1:7" ht="12.75">
      <c r="A430" s="178"/>
      <c r="B430" s="178"/>
      <c r="C430" s="178"/>
      <c r="D430" s="178"/>
      <c r="E430" s="178"/>
      <c r="F430" s="178"/>
      <c r="G430" s="178"/>
    </row>
    <row r="431" spans="1:7" ht="12.75">
      <c r="A431" s="178"/>
      <c r="B431" s="178"/>
      <c r="C431" s="178"/>
      <c r="D431" s="178"/>
      <c r="E431" s="178"/>
      <c r="F431" s="178"/>
      <c r="G431" s="178"/>
    </row>
    <row r="432" spans="1:7" ht="12.75">
      <c r="A432" s="178"/>
      <c r="B432" s="178"/>
      <c r="C432" s="178"/>
      <c r="D432" s="178"/>
      <c r="E432" s="178"/>
      <c r="F432" s="178"/>
      <c r="G432" s="178"/>
    </row>
    <row r="433" spans="1:7" ht="12.75">
      <c r="A433" s="178"/>
      <c r="B433" s="178"/>
      <c r="C433" s="178"/>
      <c r="D433" s="178"/>
      <c r="E433" s="178"/>
      <c r="F433" s="178"/>
      <c r="G433" s="178"/>
    </row>
    <row r="434" spans="1:7" ht="12.75">
      <c r="A434" s="178"/>
      <c r="B434" s="178"/>
      <c r="C434" s="178"/>
      <c r="D434" s="178"/>
      <c r="E434" s="178"/>
      <c r="F434" s="178"/>
      <c r="G434" s="178"/>
    </row>
    <row r="435" spans="1:7" ht="12.75">
      <c r="A435" s="178"/>
      <c r="B435" s="178"/>
      <c r="C435" s="178"/>
      <c r="D435" s="178"/>
      <c r="E435" s="178"/>
      <c r="F435" s="178"/>
      <c r="G435" s="178"/>
    </row>
    <row r="436" spans="1:7" ht="12.75">
      <c r="A436" s="178"/>
      <c r="B436" s="178"/>
      <c r="C436" s="178"/>
      <c r="D436" s="178"/>
      <c r="E436" s="178"/>
      <c r="F436" s="178"/>
      <c r="G436" s="178"/>
    </row>
    <row r="437" spans="1:7" ht="12.75">
      <c r="A437" s="178"/>
      <c r="B437" s="178"/>
      <c r="C437" s="178"/>
      <c r="D437" s="178"/>
      <c r="E437" s="178"/>
      <c r="F437" s="178"/>
      <c r="G437" s="178"/>
    </row>
    <row r="438" spans="1:7" ht="12.75">
      <c r="A438" s="178"/>
      <c r="B438" s="178"/>
      <c r="C438" s="178"/>
      <c r="D438" s="178"/>
      <c r="E438" s="178"/>
      <c r="F438" s="178"/>
      <c r="G438" s="178"/>
    </row>
    <row r="439" spans="1:7" ht="12.75">
      <c r="A439" s="178"/>
      <c r="B439" s="178"/>
      <c r="C439" s="178"/>
      <c r="D439" s="178"/>
      <c r="E439" s="178"/>
      <c r="F439" s="178"/>
      <c r="G439" s="178"/>
    </row>
    <row r="440" spans="1:7" ht="12.75">
      <c r="A440" s="178"/>
      <c r="B440" s="178"/>
      <c r="C440" s="178"/>
      <c r="D440" s="178"/>
      <c r="E440" s="178"/>
      <c r="F440" s="178"/>
      <c r="G440" s="178"/>
    </row>
    <row r="441" spans="1:7" ht="12.75">
      <c r="A441" s="178"/>
      <c r="B441" s="178"/>
      <c r="C441" s="178"/>
      <c r="D441" s="178"/>
      <c r="E441" s="178"/>
      <c r="F441" s="178"/>
      <c r="G441" s="178"/>
    </row>
    <row r="442" spans="1:7" ht="12.75">
      <c r="A442" s="178"/>
      <c r="B442" s="178"/>
      <c r="C442" s="178"/>
      <c r="D442" s="178"/>
      <c r="E442" s="178"/>
      <c r="F442" s="178"/>
      <c r="G442" s="178"/>
    </row>
    <row r="443" spans="1:7" ht="12.75">
      <c r="A443" s="178"/>
      <c r="B443" s="178"/>
      <c r="C443" s="178"/>
      <c r="D443" s="178"/>
      <c r="E443" s="178"/>
      <c r="F443" s="178"/>
      <c r="G443" s="178"/>
    </row>
    <row r="444" spans="1:7" ht="12.75">
      <c r="A444" s="178"/>
      <c r="B444" s="178"/>
      <c r="C444" s="178"/>
      <c r="D444" s="178"/>
      <c r="E444" s="178"/>
      <c r="F444" s="178"/>
      <c r="G444" s="178"/>
    </row>
    <row r="445" spans="1:7" ht="12.75">
      <c r="A445" s="178"/>
      <c r="B445" s="178"/>
      <c r="C445" s="178"/>
      <c r="D445" s="178"/>
      <c r="E445" s="178"/>
      <c r="F445" s="178"/>
      <c r="G445" s="178"/>
    </row>
    <row r="446" spans="1:7" ht="12.75">
      <c r="A446" s="178"/>
      <c r="B446" s="178"/>
      <c r="C446" s="178"/>
      <c r="D446" s="178"/>
      <c r="E446" s="178"/>
      <c r="F446" s="178"/>
      <c r="G446" s="178"/>
    </row>
    <row r="447" spans="1:7" ht="12.75">
      <c r="A447" s="178"/>
      <c r="B447" s="178"/>
      <c r="C447" s="178"/>
      <c r="D447" s="178"/>
      <c r="E447" s="178"/>
      <c r="F447" s="178"/>
      <c r="G447" s="178"/>
    </row>
    <row r="448" spans="1:7" ht="12.75">
      <c r="A448" s="178"/>
      <c r="B448" s="178"/>
      <c r="C448" s="178"/>
      <c r="D448" s="178"/>
      <c r="E448" s="178"/>
      <c r="F448" s="178"/>
      <c r="G448" s="178"/>
    </row>
    <row r="449" spans="1:7" ht="12.75">
      <c r="A449" s="178"/>
      <c r="B449" s="178"/>
      <c r="C449" s="178"/>
      <c r="D449" s="178"/>
      <c r="E449" s="178"/>
      <c r="F449" s="178"/>
      <c r="G449" s="178"/>
    </row>
    <row r="450" spans="1:7" ht="12.75">
      <c r="A450" s="178"/>
      <c r="B450" s="178"/>
      <c r="C450" s="178"/>
      <c r="D450" s="178"/>
      <c r="E450" s="178"/>
      <c r="F450" s="178"/>
      <c r="G450" s="178"/>
    </row>
    <row r="451" spans="1:7" ht="12.75">
      <c r="A451" s="178"/>
      <c r="B451" s="178"/>
      <c r="C451" s="178"/>
      <c r="D451" s="178"/>
      <c r="E451" s="178"/>
      <c r="F451" s="178"/>
      <c r="G451" s="178"/>
    </row>
    <row r="452" spans="1:7" ht="12.75">
      <c r="A452" s="178"/>
      <c r="B452" s="178"/>
      <c r="C452" s="178"/>
      <c r="D452" s="178"/>
      <c r="E452" s="178"/>
      <c r="F452" s="178"/>
      <c r="G452" s="178"/>
    </row>
    <row r="453" spans="1:7" ht="12.75">
      <c r="A453" s="178"/>
      <c r="B453" s="178"/>
      <c r="C453" s="178"/>
      <c r="D453" s="178"/>
      <c r="E453" s="178"/>
      <c r="F453" s="178"/>
      <c r="G453" s="178"/>
    </row>
    <row r="454" spans="1:7" ht="12.75">
      <c r="A454" s="178"/>
      <c r="B454" s="178"/>
      <c r="C454" s="178"/>
      <c r="D454" s="178"/>
      <c r="E454" s="178"/>
      <c r="F454" s="178"/>
      <c r="G454" s="178"/>
    </row>
    <row r="455" spans="1:7" ht="12.75">
      <c r="A455" s="178"/>
      <c r="B455" s="178"/>
      <c r="C455" s="178"/>
      <c r="D455" s="178"/>
      <c r="E455" s="178"/>
      <c r="F455" s="178"/>
      <c r="G455" s="178"/>
    </row>
    <row r="456" spans="1:7" ht="12.75">
      <c r="A456" s="178"/>
      <c r="B456" s="178"/>
      <c r="C456" s="178"/>
      <c r="D456" s="178"/>
      <c r="E456" s="178"/>
      <c r="F456" s="178"/>
      <c r="G456" s="178"/>
    </row>
    <row r="457" spans="1:7" ht="12.75">
      <c r="A457" s="178"/>
      <c r="B457" s="178"/>
      <c r="C457" s="178"/>
      <c r="D457" s="178"/>
      <c r="E457" s="178"/>
      <c r="F457" s="178"/>
      <c r="G457" s="178"/>
    </row>
    <row r="458" spans="1:7" ht="12.75">
      <c r="A458" s="178"/>
      <c r="B458" s="178"/>
      <c r="C458" s="178"/>
      <c r="D458" s="178"/>
      <c r="E458" s="178"/>
      <c r="F458" s="178"/>
      <c r="G458" s="178"/>
    </row>
    <row r="459" spans="1:7" ht="12.75">
      <c r="A459" s="178"/>
      <c r="B459" s="178"/>
      <c r="C459" s="178"/>
      <c r="D459" s="178"/>
      <c r="E459" s="178"/>
      <c r="F459" s="178"/>
      <c r="G459" s="178"/>
    </row>
    <row r="460" spans="1:7" ht="12.75">
      <c r="A460" s="178"/>
      <c r="B460" s="178"/>
      <c r="C460" s="178"/>
      <c r="D460" s="178"/>
      <c r="E460" s="178"/>
      <c r="F460" s="178"/>
      <c r="G460" s="178"/>
    </row>
    <row r="461" spans="1:7" ht="12.75">
      <c r="A461" s="178"/>
      <c r="B461" s="178"/>
      <c r="C461" s="178"/>
      <c r="D461" s="178"/>
      <c r="E461" s="178"/>
      <c r="F461" s="178"/>
      <c r="G461" s="178"/>
    </row>
    <row r="462" spans="1:7" ht="12.75">
      <c r="A462" s="178"/>
      <c r="B462" s="178"/>
      <c r="C462" s="178"/>
      <c r="D462" s="178"/>
      <c r="E462" s="178"/>
      <c r="F462" s="178"/>
      <c r="G462" s="178"/>
    </row>
    <row r="463" spans="1:7" ht="12.75">
      <c r="A463" s="178"/>
      <c r="B463" s="178"/>
      <c r="C463" s="178"/>
      <c r="D463" s="178"/>
      <c r="E463" s="178"/>
      <c r="F463" s="178"/>
      <c r="G463" s="178"/>
    </row>
    <row r="464" spans="1:7" ht="12.75">
      <c r="A464" s="178"/>
      <c r="B464" s="178"/>
      <c r="C464" s="178"/>
      <c r="D464" s="178"/>
      <c r="E464" s="178"/>
      <c r="F464" s="178"/>
      <c r="G464" s="178"/>
    </row>
    <row r="465" spans="1:7" ht="12.75">
      <c r="A465" s="178"/>
      <c r="B465" s="178"/>
      <c r="C465" s="178"/>
      <c r="D465" s="178"/>
      <c r="E465" s="178"/>
      <c r="F465" s="178"/>
      <c r="G465" s="178"/>
    </row>
    <row r="466" spans="1:7" ht="12.75">
      <c r="A466" s="178"/>
      <c r="B466" s="178"/>
      <c r="C466" s="178"/>
      <c r="D466" s="178"/>
      <c r="E466" s="178"/>
      <c r="F466" s="178"/>
      <c r="G466" s="178"/>
    </row>
    <row r="467" spans="1:7" ht="12.75">
      <c r="A467" s="178"/>
      <c r="B467" s="178"/>
      <c r="C467" s="178"/>
      <c r="D467" s="178"/>
      <c r="E467" s="178"/>
      <c r="F467" s="178"/>
      <c r="G467" s="178"/>
    </row>
    <row r="468" spans="1:7" ht="12.75">
      <c r="A468" s="178"/>
      <c r="B468" s="178"/>
      <c r="C468" s="178"/>
      <c r="D468" s="178"/>
      <c r="E468" s="178"/>
      <c r="F468" s="178"/>
      <c r="G468" s="178"/>
    </row>
    <row r="469" spans="1:7" ht="12.75">
      <c r="A469" s="178"/>
      <c r="B469" s="178"/>
      <c r="C469" s="178"/>
      <c r="D469" s="178"/>
      <c r="E469" s="178"/>
      <c r="F469" s="178"/>
      <c r="G469" s="178"/>
    </row>
    <row r="470" spans="1:7" ht="12.75">
      <c r="A470" s="178"/>
      <c r="B470" s="178"/>
      <c r="C470" s="178"/>
      <c r="D470" s="178"/>
      <c r="E470" s="178"/>
      <c r="F470" s="178"/>
      <c r="G470" s="178"/>
    </row>
    <row r="471" spans="1:7" ht="12.75">
      <c r="A471" s="178"/>
      <c r="B471" s="178"/>
      <c r="C471" s="178"/>
      <c r="D471" s="178"/>
      <c r="E471" s="178"/>
      <c r="F471" s="178"/>
      <c r="G471" s="178"/>
    </row>
    <row r="472" spans="1:7" ht="12.75">
      <c r="A472" s="178"/>
      <c r="B472" s="178"/>
      <c r="C472" s="178"/>
      <c r="D472" s="178"/>
      <c r="E472" s="178"/>
      <c r="F472" s="178"/>
      <c r="G472" s="178"/>
    </row>
    <row r="473" spans="1:7" ht="12.75">
      <c r="A473" s="178"/>
      <c r="B473" s="178"/>
      <c r="C473" s="178"/>
      <c r="D473" s="178"/>
      <c r="E473" s="178"/>
      <c r="F473" s="178"/>
      <c r="G473" s="178"/>
    </row>
    <row r="474" spans="1:7" ht="12.75">
      <c r="A474" s="178"/>
      <c r="B474" s="178"/>
      <c r="C474" s="178"/>
      <c r="D474" s="178"/>
      <c r="E474" s="178"/>
      <c r="F474" s="178"/>
      <c r="G474" s="178"/>
    </row>
    <row r="475" spans="1:7" ht="12.75">
      <c r="A475" s="178"/>
      <c r="B475" s="178"/>
      <c r="C475" s="178"/>
      <c r="D475" s="178"/>
      <c r="E475" s="178"/>
      <c r="F475" s="178"/>
      <c r="G475" s="178"/>
    </row>
    <row r="476" spans="1:7" ht="12.75">
      <c r="A476" s="178"/>
      <c r="B476" s="178"/>
      <c r="C476" s="178"/>
      <c r="D476" s="178"/>
      <c r="E476" s="178"/>
      <c r="F476" s="178"/>
      <c r="G476" s="178"/>
    </row>
    <row r="477" spans="1:7" ht="12.75">
      <c r="A477" s="178"/>
      <c r="B477" s="178"/>
      <c r="C477" s="178"/>
      <c r="D477" s="178"/>
      <c r="E477" s="178"/>
      <c r="F477" s="178"/>
      <c r="G477" s="178"/>
    </row>
    <row r="478" spans="1:7" ht="12.75">
      <c r="A478" s="178"/>
      <c r="B478" s="178"/>
      <c r="C478" s="178"/>
      <c r="D478" s="178"/>
      <c r="E478" s="178"/>
      <c r="F478" s="178"/>
      <c r="G478" s="178"/>
    </row>
    <row r="479" spans="1:7" ht="12.75">
      <c r="A479" s="178"/>
      <c r="B479" s="178"/>
      <c r="C479" s="178"/>
      <c r="D479" s="178"/>
      <c r="E479" s="178"/>
      <c r="F479" s="178"/>
      <c r="G479" s="178"/>
    </row>
    <row r="480" spans="1:7" ht="12.75">
      <c r="A480" s="178"/>
      <c r="B480" s="178"/>
      <c r="C480" s="178"/>
      <c r="D480" s="178"/>
      <c r="E480" s="178"/>
      <c r="F480" s="178"/>
      <c r="G480" s="178"/>
    </row>
    <row r="481" spans="1:7" ht="12.75">
      <c r="A481" s="178"/>
      <c r="B481" s="178"/>
      <c r="C481" s="178"/>
      <c r="D481" s="178"/>
      <c r="E481" s="178"/>
      <c r="F481" s="178"/>
      <c r="G481" s="178"/>
    </row>
    <row r="482" spans="1:7" ht="12.75">
      <c r="A482" s="178"/>
      <c r="B482" s="178"/>
      <c r="C482" s="178"/>
      <c r="D482" s="178"/>
      <c r="E482" s="178"/>
      <c r="F482" s="178"/>
      <c r="G482" s="178"/>
    </row>
    <row r="483" spans="1:7" ht="12.75">
      <c r="A483" s="178"/>
      <c r="B483" s="178"/>
      <c r="C483" s="178"/>
      <c r="D483" s="178"/>
      <c r="E483" s="178"/>
      <c r="F483" s="178"/>
      <c r="G483" s="178"/>
    </row>
    <row r="484" spans="1:7" ht="12.75">
      <c r="A484" s="178"/>
      <c r="B484" s="178"/>
      <c r="C484" s="178"/>
      <c r="D484" s="178"/>
      <c r="E484" s="178"/>
      <c r="F484" s="178"/>
      <c r="G484" s="178"/>
    </row>
    <row r="485" spans="1:7" ht="12.75">
      <c r="A485" s="178"/>
      <c r="B485" s="178"/>
      <c r="C485" s="178"/>
      <c r="D485" s="178"/>
      <c r="E485" s="178"/>
      <c r="F485" s="178"/>
      <c r="G485" s="178"/>
    </row>
    <row r="486" spans="1:7" ht="12.75">
      <c r="A486" s="178"/>
      <c r="B486" s="178"/>
      <c r="C486" s="178"/>
      <c r="D486" s="178"/>
      <c r="E486" s="178"/>
      <c r="F486" s="178"/>
      <c r="G486" s="178"/>
    </row>
    <row r="487" spans="1:7" ht="12.75">
      <c r="A487" s="178"/>
      <c r="B487" s="178"/>
      <c r="C487" s="178"/>
      <c r="D487" s="178"/>
      <c r="E487" s="178"/>
      <c r="F487" s="178"/>
      <c r="G487" s="178"/>
    </row>
    <row r="488" spans="1:7" ht="12.75">
      <c r="A488" s="178"/>
      <c r="B488" s="178"/>
      <c r="C488" s="178"/>
      <c r="D488" s="178"/>
      <c r="E488" s="178"/>
      <c r="F488" s="178"/>
      <c r="G488" s="178"/>
    </row>
    <row r="489" spans="1:7" ht="12.75">
      <c r="A489" s="178"/>
      <c r="B489" s="178"/>
      <c r="C489" s="178"/>
      <c r="D489" s="178"/>
      <c r="E489" s="178"/>
      <c r="F489" s="178"/>
      <c r="G489" s="178"/>
    </row>
    <row r="490" spans="1:7" ht="12.75">
      <c r="A490" s="178"/>
      <c r="B490" s="178"/>
      <c r="C490" s="178"/>
      <c r="D490" s="178"/>
      <c r="E490" s="178"/>
      <c r="F490" s="178"/>
      <c r="G490" s="178"/>
    </row>
    <row r="491" spans="1:7" ht="12.75">
      <c r="A491" s="178"/>
      <c r="B491" s="178"/>
      <c r="C491" s="178"/>
      <c r="D491" s="178"/>
      <c r="E491" s="178"/>
      <c r="F491" s="178"/>
      <c r="G491" s="178"/>
    </row>
    <row r="492" spans="1:7" ht="12.75">
      <c r="A492" s="178"/>
      <c r="B492" s="178"/>
      <c r="C492" s="178"/>
      <c r="D492" s="178"/>
      <c r="E492" s="178"/>
      <c r="F492" s="178"/>
      <c r="G492" s="178"/>
    </row>
    <row r="493" spans="1:7" ht="12.75">
      <c r="A493" s="178"/>
      <c r="B493" s="178"/>
      <c r="C493" s="178"/>
      <c r="D493" s="178"/>
      <c r="E493" s="178"/>
      <c r="F493" s="178"/>
      <c r="G493" s="178"/>
    </row>
    <row r="494" spans="1:7" ht="12.75">
      <c r="A494" s="178"/>
      <c r="B494" s="178"/>
      <c r="C494" s="178"/>
      <c r="D494" s="178"/>
      <c r="E494" s="178"/>
      <c r="F494" s="178"/>
      <c r="G494" s="178"/>
    </row>
    <row r="495" spans="1:7" ht="12.75">
      <c r="A495" s="178"/>
      <c r="B495" s="178"/>
      <c r="C495" s="178"/>
      <c r="D495" s="178"/>
      <c r="E495" s="178"/>
      <c r="F495" s="178"/>
      <c r="G495" s="178"/>
    </row>
    <row r="496" spans="1:7" ht="12.75">
      <c r="A496" s="178"/>
      <c r="B496" s="178"/>
      <c r="C496" s="178"/>
      <c r="D496" s="178"/>
      <c r="E496" s="178"/>
      <c r="F496" s="178"/>
      <c r="G496" s="178"/>
    </row>
    <row r="497" spans="1:7" ht="12.75">
      <c r="A497" s="178"/>
      <c r="B497" s="178"/>
      <c r="C497" s="178"/>
      <c r="D497" s="178"/>
      <c r="E497" s="178"/>
      <c r="F497" s="178"/>
      <c r="G497" s="178"/>
    </row>
    <row r="498" spans="1:7" ht="12.75">
      <c r="A498" s="178"/>
      <c r="B498" s="178"/>
      <c r="C498" s="178"/>
      <c r="D498" s="178"/>
      <c r="E498" s="178"/>
      <c r="F498" s="178"/>
      <c r="G498" s="178"/>
    </row>
    <row r="499" spans="1:7" ht="12.75">
      <c r="A499" s="178"/>
      <c r="B499" s="178"/>
      <c r="C499" s="178"/>
      <c r="D499" s="178"/>
      <c r="E499" s="178"/>
      <c r="F499" s="178"/>
      <c r="G499" s="178"/>
    </row>
    <row r="500" spans="1:7" ht="12.75">
      <c r="A500" s="178"/>
      <c r="B500" s="178"/>
      <c r="C500" s="178"/>
      <c r="D500" s="178"/>
      <c r="E500" s="178"/>
      <c r="F500" s="178"/>
      <c r="G500" s="178"/>
    </row>
    <row r="501" spans="1:7" ht="12.75">
      <c r="A501" s="178"/>
      <c r="B501" s="178"/>
      <c r="C501" s="178"/>
      <c r="D501" s="178"/>
      <c r="E501" s="178"/>
      <c r="F501" s="178"/>
      <c r="G501" s="178"/>
    </row>
    <row r="502" spans="1:7" ht="12.75">
      <c r="A502" s="178"/>
      <c r="B502" s="178"/>
      <c r="C502" s="178"/>
      <c r="D502" s="178"/>
      <c r="E502" s="178"/>
      <c r="F502" s="178"/>
      <c r="G502" s="178"/>
    </row>
    <row r="503" spans="1:7" ht="12.75">
      <c r="A503" s="178"/>
      <c r="B503" s="178"/>
      <c r="C503" s="178"/>
      <c r="D503" s="178"/>
      <c r="E503" s="178"/>
      <c r="F503" s="178"/>
      <c r="G503" s="178"/>
    </row>
    <row r="504" spans="1:7" ht="12.75">
      <c r="A504" s="178"/>
      <c r="B504" s="178"/>
      <c r="C504" s="178"/>
      <c r="D504" s="178"/>
      <c r="E504" s="178"/>
      <c r="F504" s="178"/>
      <c r="G504" s="178"/>
    </row>
    <row r="505" spans="1:7" ht="12.75">
      <c r="A505" s="178"/>
      <c r="B505" s="178"/>
      <c r="C505" s="178"/>
      <c r="D505" s="178"/>
      <c r="E505" s="178"/>
      <c r="F505" s="178"/>
      <c r="G505" s="178"/>
    </row>
    <row r="506" spans="1:7" ht="12.75">
      <c r="A506" s="178"/>
      <c r="B506" s="178"/>
      <c r="C506" s="178"/>
      <c r="D506" s="178"/>
      <c r="E506" s="178"/>
      <c r="F506" s="178"/>
      <c r="G506" s="178"/>
    </row>
    <row r="507" spans="1:7" ht="12.75">
      <c r="A507" s="178"/>
      <c r="B507" s="178"/>
      <c r="C507" s="178"/>
      <c r="D507" s="178"/>
      <c r="E507" s="178"/>
      <c r="F507" s="178"/>
      <c r="G507" s="178"/>
    </row>
    <row r="508" spans="1:7" ht="12.75">
      <c r="A508" s="178"/>
      <c r="B508" s="178"/>
      <c r="C508" s="178"/>
      <c r="D508" s="178"/>
      <c r="E508" s="178"/>
      <c r="F508" s="178"/>
      <c r="G508" s="178"/>
    </row>
    <row r="509" spans="1:7" ht="12.75">
      <c r="A509" s="178"/>
      <c r="B509" s="178"/>
      <c r="C509" s="178"/>
      <c r="D509" s="178"/>
      <c r="E509" s="178"/>
      <c r="F509" s="178"/>
      <c r="G509" s="178"/>
    </row>
    <row r="510" spans="1:7" ht="12.75">
      <c r="A510" s="178"/>
      <c r="B510" s="178"/>
      <c r="C510" s="178"/>
      <c r="D510" s="178"/>
      <c r="E510" s="178"/>
      <c r="F510" s="178"/>
      <c r="G510" s="178"/>
    </row>
    <row r="511" spans="1:7" ht="12.75">
      <c r="A511" s="178"/>
      <c r="B511" s="178"/>
      <c r="C511" s="178"/>
      <c r="D511" s="178"/>
      <c r="E511" s="178"/>
      <c r="F511" s="178"/>
      <c r="G511" s="178"/>
    </row>
    <row r="512" spans="1:7" ht="12.75">
      <c r="A512" s="178"/>
      <c r="B512" s="178"/>
      <c r="C512" s="178"/>
      <c r="D512" s="178"/>
      <c r="E512" s="178"/>
      <c r="F512" s="178"/>
      <c r="G512" s="178"/>
    </row>
    <row r="513" spans="1:7" ht="12.75">
      <c r="A513" s="178"/>
      <c r="B513" s="178"/>
      <c r="C513" s="178"/>
      <c r="D513" s="178"/>
      <c r="E513" s="178"/>
      <c r="F513" s="178"/>
      <c r="G513" s="178"/>
    </row>
    <row r="514" spans="1:7" ht="12.75">
      <c r="A514" s="178"/>
      <c r="B514" s="178"/>
      <c r="C514" s="178"/>
      <c r="D514" s="178"/>
      <c r="E514" s="178"/>
      <c r="F514" s="178"/>
      <c r="G514" s="178"/>
    </row>
    <row r="515" spans="1:7" ht="12.75">
      <c r="A515" s="178"/>
      <c r="B515" s="178"/>
      <c r="C515" s="178"/>
      <c r="D515" s="178"/>
      <c r="E515" s="178"/>
      <c r="F515" s="178"/>
      <c r="G515" s="178"/>
    </row>
    <row r="516" spans="1:7" ht="12.75">
      <c r="A516" s="178"/>
      <c r="B516" s="178"/>
      <c r="C516" s="178"/>
      <c r="D516" s="178"/>
      <c r="E516" s="178"/>
      <c r="F516" s="178"/>
      <c r="G516" s="178"/>
    </row>
    <row r="517" spans="1:7" ht="12.75">
      <c r="A517" s="178"/>
      <c r="B517" s="178"/>
      <c r="C517" s="178"/>
      <c r="D517" s="178"/>
      <c r="E517" s="178"/>
      <c r="F517" s="178"/>
      <c r="G517" s="178"/>
    </row>
    <row r="518" spans="1:7" ht="12.75">
      <c r="A518" s="178"/>
      <c r="B518" s="178"/>
      <c r="C518" s="178"/>
      <c r="D518" s="178"/>
      <c r="E518" s="178"/>
      <c r="F518" s="178"/>
      <c r="G518" s="178"/>
    </row>
    <row r="519" spans="1:7" ht="12.75">
      <c r="A519" s="178"/>
      <c r="B519" s="178"/>
      <c r="C519" s="178"/>
      <c r="D519" s="178"/>
      <c r="E519" s="178"/>
      <c r="F519" s="178"/>
      <c r="G519" s="178"/>
    </row>
    <row r="520" spans="1:7" ht="12.75">
      <c r="A520" s="178"/>
      <c r="B520" s="178"/>
      <c r="C520" s="178"/>
      <c r="D520" s="178"/>
      <c r="E520" s="178"/>
      <c r="F520" s="178"/>
      <c r="G520" s="178"/>
    </row>
    <row r="521" spans="1:7" ht="12.75">
      <c r="A521" s="178"/>
      <c r="B521" s="178"/>
      <c r="C521" s="178"/>
      <c r="D521" s="178"/>
      <c r="E521" s="178"/>
      <c r="F521" s="178"/>
      <c r="G521" s="178"/>
    </row>
    <row r="522" spans="1:7" ht="12.75">
      <c r="A522" s="178"/>
      <c r="B522" s="178"/>
      <c r="C522" s="178"/>
      <c r="D522" s="178"/>
      <c r="E522" s="178"/>
      <c r="F522" s="178"/>
      <c r="G522" s="178"/>
    </row>
    <row r="523" spans="1:7" ht="12.75">
      <c r="A523" s="178"/>
      <c r="B523" s="178"/>
      <c r="C523" s="178"/>
      <c r="D523" s="178"/>
      <c r="E523" s="178"/>
      <c r="F523" s="178"/>
      <c r="G523" s="178"/>
    </row>
    <row r="524" spans="1:7" ht="12.75">
      <c r="A524" s="178"/>
      <c r="B524" s="178"/>
      <c r="C524" s="178"/>
      <c r="D524" s="178"/>
      <c r="E524" s="178"/>
      <c r="F524" s="178"/>
      <c r="G524" s="178"/>
    </row>
    <row r="525" spans="1:7" ht="12.75">
      <c r="A525" s="178"/>
      <c r="B525" s="178"/>
      <c r="C525" s="178"/>
      <c r="D525" s="178"/>
      <c r="E525" s="178"/>
      <c r="F525" s="178"/>
      <c r="G525" s="178"/>
    </row>
    <row r="526" spans="1:7" ht="12.75">
      <c r="A526" s="178"/>
      <c r="B526" s="178"/>
      <c r="C526" s="178"/>
      <c r="D526" s="178"/>
      <c r="E526" s="178"/>
      <c r="F526" s="178"/>
      <c r="G526" s="178"/>
    </row>
    <row r="527" spans="1:7" ht="12.75">
      <c r="A527" s="178"/>
      <c r="B527" s="178"/>
      <c r="C527" s="178"/>
      <c r="D527" s="178"/>
      <c r="E527" s="178"/>
      <c r="F527" s="178"/>
      <c r="G527" s="178"/>
    </row>
    <row r="528" spans="1:7" ht="12.75">
      <c r="A528" s="178"/>
      <c r="B528" s="178"/>
      <c r="C528" s="178"/>
      <c r="D528" s="178"/>
      <c r="E528" s="178"/>
      <c r="F528" s="178"/>
      <c r="G528" s="178"/>
    </row>
    <row r="529" spans="1:7" ht="12.75">
      <c r="A529" s="178"/>
      <c r="B529" s="178"/>
      <c r="C529" s="178"/>
      <c r="D529" s="178"/>
      <c r="E529" s="178"/>
      <c r="F529" s="178"/>
      <c r="G529" s="178"/>
    </row>
    <row r="530" spans="1:7" ht="12.75">
      <c r="A530" s="178"/>
      <c r="B530" s="178"/>
      <c r="C530" s="178"/>
      <c r="D530" s="178"/>
      <c r="E530" s="178"/>
      <c r="F530" s="178"/>
      <c r="G530" s="178"/>
    </row>
    <row r="531" spans="1:7" ht="12.75">
      <c r="A531" s="178"/>
      <c r="B531" s="178"/>
      <c r="C531" s="178"/>
      <c r="D531" s="178"/>
      <c r="E531" s="178"/>
      <c r="F531" s="178"/>
      <c r="G531" s="178"/>
    </row>
    <row r="532" spans="1:7" ht="12.75">
      <c r="A532" s="178"/>
      <c r="B532" s="178"/>
      <c r="C532" s="178"/>
      <c r="D532" s="178"/>
      <c r="E532" s="178"/>
      <c r="F532" s="178"/>
      <c r="G532" s="178"/>
    </row>
    <row r="533" spans="1:7" ht="12.75">
      <c r="A533" s="178"/>
      <c r="B533" s="178"/>
      <c r="C533" s="178"/>
      <c r="D533" s="178"/>
      <c r="E533" s="178"/>
      <c r="F533" s="178"/>
      <c r="G533" s="178"/>
    </row>
    <row r="534" spans="1:7" ht="12.75">
      <c r="A534" s="178"/>
      <c r="B534" s="178"/>
      <c r="C534" s="178"/>
      <c r="D534" s="178"/>
      <c r="E534" s="178"/>
      <c r="F534" s="178"/>
      <c r="G534" s="178"/>
    </row>
    <row r="535" spans="1:7" ht="12.75">
      <c r="A535" s="178"/>
      <c r="B535" s="178"/>
      <c r="C535" s="178"/>
      <c r="D535" s="178"/>
      <c r="E535" s="178"/>
      <c r="F535" s="178"/>
      <c r="G535" s="178"/>
    </row>
    <row r="536" spans="1:7" ht="12.75">
      <c r="A536" s="178"/>
      <c r="B536" s="178"/>
      <c r="C536" s="178"/>
      <c r="D536" s="178"/>
      <c r="E536" s="178"/>
      <c r="F536" s="178"/>
      <c r="G536" s="178"/>
    </row>
    <row r="537" spans="1:7" ht="12.75">
      <c r="A537" s="178"/>
      <c r="B537" s="178"/>
      <c r="C537" s="178"/>
      <c r="D537" s="178"/>
      <c r="E537" s="178"/>
      <c r="F537" s="178"/>
      <c r="G537" s="178"/>
    </row>
    <row r="538" spans="1:7" ht="12.75">
      <c r="A538" s="178"/>
      <c r="B538" s="178"/>
      <c r="C538" s="178"/>
      <c r="D538" s="178"/>
      <c r="E538" s="178"/>
      <c r="F538" s="178"/>
      <c r="G538" s="178"/>
    </row>
    <row r="539" spans="1:7" ht="12.75">
      <c r="A539" s="178"/>
      <c r="B539" s="178"/>
      <c r="C539" s="178"/>
      <c r="D539" s="178"/>
      <c r="E539" s="178"/>
      <c r="F539" s="178"/>
      <c r="G539" s="178"/>
    </row>
    <row r="540" spans="1:7" ht="12.75">
      <c r="A540" s="178"/>
      <c r="B540" s="178"/>
      <c r="C540" s="178"/>
      <c r="D540" s="178"/>
      <c r="E540" s="178"/>
      <c r="F540" s="178"/>
      <c r="G540" s="178"/>
    </row>
    <row r="541" spans="1:7" ht="12.75">
      <c r="A541" s="178"/>
      <c r="B541" s="178"/>
      <c r="C541" s="178"/>
      <c r="D541" s="178"/>
      <c r="E541" s="178"/>
      <c r="F541" s="178"/>
      <c r="G541" s="178"/>
    </row>
    <row r="542" spans="1:7" ht="12.75">
      <c r="A542" s="178"/>
      <c r="B542" s="178"/>
      <c r="C542" s="178"/>
      <c r="D542" s="178"/>
      <c r="E542" s="178"/>
      <c r="F542" s="178"/>
      <c r="G542" s="178"/>
    </row>
    <row r="543" spans="1:7" ht="12.75">
      <c r="A543" s="178"/>
      <c r="B543" s="178"/>
      <c r="C543" s="178"/>
      <c r="D543" s="178"/>
      <c r="E543" s="178"/>
      <c r="F543" s="178"/>
      <c r="G543" s="178"/>
    </row>
    <row r="544" spans="1:7" ht="12.75">
      <c r="A544" s="178"/>
      <c r="B544" s="178"/>
      <c r="C544" s="178"/>
      <c r="D544" s="178"/>
      <c r="E544" s="178"/>
      <c r="F544" s="178"/>
      <c r="G544" s="178"/>
    </row>
    <row r="545" spans="1:7" ht="12.75">
      <c r="A545" s="178"/>
      <c r="B545" s="178"/>
      <c r="C545" s="178"/>
      <c r="D545" s="178"/>
      <c r="E545" s="178"/>
      <c r="F545" s="178"/>
      <c r="G545" s="178"/>
    </row>
    <row r="546" spans="1:7" ht="12.75">
      <c r="A546" s="178"/>
      <c r="B546" s="178"/>
      <c r="C546" s="178"/>
      <c r="D546" s="178"/>
      <c r="E546" s="178"/>
      <c r="F546" s="178"/>
      <c r="G546" s="178"/>
    </row>
    <row r="547" spans="1:7" ht="12.75">
      <c r="A547" s="178"/>
      <c r="B547" s="178"/>
      <c r="C547" s="178"/>
      <c r="D547" s="178"/>
      <c r="E547" s="178"/>
      <c r="F547" s="178"/>
      <c r="G547" s="178"/>
    </row>
    <row r="548" spans="1:7" ht="12.75">
      <c r="A548" s="178"/>
      <c r="B548" s="178"/>
      <c r="C548" s="178"/>
      <c r="D548" s="178"/>
      <c r="E548" s="178"/>
      <c r="F548" s="178"/>
      <c r="G548" s="178"/>
    </row>
    <row r="549" spans="1:7" ht="12.75">
      <c r="A549" s="178"/>
      <c r="B549" s="178"/>
      <c r="C549" s="178"/>
      <c r="D549" s="178"/>
      <c r="E549" s="178"/>
      <c r="F549" s="178"/>
      <c r="G549" s="178"/>
    </row>
    <row r="550" spans="1:7" ht="12.75">
      <c r="A550" s="178"/>
      <c r="B550" s="178"/>
      <c r="C550" s="178"/>
      <c r="D550" s="178"/>
      <c r="E550" s="178"/>
      <c r="F550" s="178"/>
      <c r="G550" s="178"/>
    </row>
    <row r="551" spans="1:7" ht="12.75">
      <c r="A551" s="178"/>
      <c r="B551" s="178"/>
      <c r="C551" s="178"/>
      <c r="D551" s="178"/>
      <c r="E551" s="178"/>
      <c r="F551" s="178"/>
      <c r="G551" s="178"/>
    </row>
    <row r="552" spans="1:7" ht="12.75">
      <c r="A552" s="178"/>
      <c r="B552" s="178"/>
      <c r="C552" s="178"/>
      <c r="D552" s="178"/>
      <c r="E552" s="178"/>
      <c r="F552" s="178"/>
      <c r="G552" s="178"/>
    </row>
    <row r="553" spans="1:7" ht="12.75">
      <c r="A553" s="178"/>
      <c r="B553" s="178"/>
      <c r="C553" s="178"/>
      <c r="D553" s="178"/>
      <c r="E553" s="178"/>
      <c r="F553" s="178"/>
      <c r="G553" s="178"/>
    </row>
    <row r="554" spans="1:7" ht="12.75">
      <c r="A554" s="178"/>
      <c r="B554" s="178"/>
      <c r="C554" s="178"/>
      <c r="D554" s="178"/>
      <c r="E554" s="178"/>
      <c r="F554" s="178"/>
      <c r="G554" s="178"/>
    </row>
    <row r="555" spans="1:7" ht="12.75">
      <c r="A555" s="178"/>
      <c r="B555" s="178"/>
      <c r="C555" s="178"/>
      <c r="D555" s="178"/>
      <c r="E555" s="178"/>
      <c r="F555" s="178"/>
      <c r="G555" s="178"/>
    </row>
    <row r="556" spans="1:7" ht="12.75">
      <c r="A556" s="178"/>
      <c r="B556" s="178"/>
      <c r="C556" s="178"/>
      <c r="D556" s="178"/>
      <c r="E556" s="178"/>
      <c r="F556" s="178"/>
      <c r="G556" s="178"/>
    </row>
    <row r="557" spans="1:7" ht="12.75">
      <c r="A557" s="178"/>
      <c r="B557" s="178"/>
      <c r="C557" s="178"/>
      <c r="D557" s="178"/>
      <c r="E557" s="178"/>
      <c r="F557" s="178"/>
      <c r="G557" s="178"/>
    </row>
    <row r="558" spans="1:7" ht="12.75">
      <c r="A558" s="178"/>
      <c r="B558" s="178"/>
      <c r="C558" s="178"/>
      <c r="D558" s="178"/>
      <c r="E558" s="178"/>
      <c r="F558" s="178"/>
      <c r="G558" s="178"/>
    </row>
    <row r="559" spans="1:7" ht="12.75">
      <c r="A559" s="178"/>
      <c r="B559" s="178"/>
      <c r="C559" s="178"/>
      <c r="D559" s="178"/>
      <c r="E559" s="178"/>
      <c r="F559" s="178"/>
      <c r="G559" s="178"/>
    </row>
    <row r="560" spans="1:7" ht="12.75">
      <c r="A560" s="178"/>
      <c r="B560" s="178"/>
      <c r="C560" s="178"/>
      <c r="D560" s="178"/>
      <c r="E560" s="178"/>
      <c r="F560" s="178"/>
      <c r="G560" s="178"/>
    </row>
    <row r="561" spans="1:7" ht="12.75">
      <c r="A561" s="178"/>
      <c r="B561" s="178"/>
      <c r="C561" s="178"/>
      <c r="D561" s="178"/>
      <c r="E561" s="178"/>
      <c r="F561" s="178"/>
      <c r="G561" s="178"/>
    </row>
    <row r="562" spans="1:7" ht="12.75">
      <c r="A562" s="178"/>
      <c r="B562" s="178"/>
      <c r="C562" s="178"/>
      <c r="D562" s="178"/>
      <c r="E562" s="178"/>
      <c r="F562" s="178"/>
      <c r="G562" s="178"/>
    </row>
    <row r="563" spans="1:7" ht="12.75">
      <c r="A563" s="178"/>
      <c r="B563" s="178"/>
      <c r="C563" s="178"/>
      <c r="D563" s="178"/>
      <c r="E563" s="178"/>
      <c r="F563" s="178"/>
      <c r="G563" s="178"/>
    </row>
    <row r="564" spans="1:7" ht="12.75">
      <c r="A564" s="178"/>
      <c r="B564" s="178"/>
      <c r="C564" s="178"/>
      <c r="D564" s="178"/>
      <c r="E564" s="178"/>
      <c r="F564" s="178"/>
      <c r="G564" s="178"/>
    </row>
    <row r="565" spans="1:7" ht="12.75">
      <c r="A565" s="178"/>
      <c r="B565" s="178"/>
      <c r="C565" s="178"/>
      <c r="D565" s="178"/>
      <c r="E565" s="178"/>
      <c r="F565" s="178"/>
      <c r="G565" s="178"/>
    </row>
    <row r="566" spans="1:7" ht="12.75">
      <c r="A566" s="178"/>
      <c r="B566" s="178"/>
      <c r="C566" s="178"/>
      <c r="D566" s="178"/>
      <c r="E566" s="178"/>
      <c r="F566" s="178"/>
      <c r="G566" s="178"/>
    </row>
    <row r="567" spans="1:7" ht="12.75">
      <c r="A567" s="178"/>
      <c r="B567" s="178"/>
      <c r="C567" s="178"/>
      <c r="D567" s="178"/>
      <c r="E567" s="178"/>
      <c r="F567" s="178"/>
      <c r="G567" s="178"/>
    </row>
    <row r="568" spans="1:7" ht="12.75">
      <c r="A568" s="178"/>
      <c r="B568" s="178"/>
      <c r="C568" s="178"/>
      <c r="D568" s="178"/>
      <c r="E568" s="178"/>
      <c r="F568" s="178"/>
      <c r="G568" s="178"/>
    </row>
    <row r="569" spans="1:7" ht="12.75">
      <c r="A569" s="178"/>
      <c r="B569" s="178"/>
      <c r="C569" s="178"/>
      <c r="D569" s="178"/>
      <c r="E569" s="178"/>
      <c r="F569" s="178"/>
      <c r="G569" s="178"/>
    </row>
    <row r="570" spans="1:7" ht="12.75">
      <c r="A570" s="178"/>
      <c r="B570" s="178"/>
      <c r="C570" s="178"/>
      <c r="D570" s="178"/>
      <c r="E570" s="178"/>
      <c r="F570" s="178"/>
      <c r="G570" s="178"/>
    </row>
    <row r="571" spans="1:7" ht="12.75">
      <c r="A571" s="178"/>
      <c r="B571" s="178"/>
      <c r="C571" s="178"/>
      <c r="D571" s="178"/>
      <c r="E571" s="178"/>
      <c r="F571" s="178"/>
      <c r="G571" s="178"/>
    </row>
    <row r="572" spans="1:7" ht="12.75">
      <c r="A572" s="178"/>
      <c r="B572" s="178"/>
      <c r="C572" s="178"/>
      <c r="D572" s="178"/>
      <c r="E572" s="178"/>
      <c r="F572" s="178"/>
      <c r="G572" s="178"/>
    </row>
    <row r="573" spans="1:7" ht="12.75">
      <c r="A573" s="178"/>
      <c r="B573" s="178"/>
      <c r="C573" s="178"/>
      <c r="D573" s="178"/>
      <c r="E573" s="178"/>
      <c r="F573" s="178"/>
      <c r="G573" s="178"/>
    </row>
    <row r="574" spans="1:7" ht="12.75">
      <c r="A574" s="178"/>
      <c r="B574" s="178"/>
      <c r="C574" s="178"/>
      <c r="D574" s="178"/>
      <c r="E574" s="178"/>
      <c r="F574" s="178"/>
      <c r="G574" s="178"/>
    </row>
    <row r="575" spans="1:7" ht="12.75">
      <c r="A575" s="178"/>
      <c r="B575" s="178"/>
      <c r="C575" s="178"/>
      <c r="D575" s="178"/>
      <c r="E575" s="178"/>
      <c r="F575" s="178"/>
      <c r="G575" s="178"/>
    </row>
    <row r="576" spans="1:7" ht="12.75">
      <c r="A576" s="178"/>
      <c r="B576" s="178"/>
      <c r="C576" s="178"/>
      <c r="D576" s="178"/>
      <c r="E576" s="178"/>
      <c r="F576" s="178"/>
      <c r="G576" s="178"/>
    </row>
    <row r="577" spans="1:7" ht="12.75">
      <c r="A577" s="178"/>
      <c r="B577" s="178"/>
      <c r="C577" s="178"/>
      <c r="D577" s="178"/>
      <c r="E577" s="178"/>
      <c r="F577" s="178"/>
      <c r="G577" s="178"/>
    </row>
    <row r="578" spans="1:7" ht="12.75">
      <c r="A578" s="178"/>
      <c r="B578" s="178"/>
      <c r="C578" s="178"/>
      <c r="D578" s="178"/>
      <c r="E578" s="178"/>
      <c r="F578" s="178"/>
      <c r="G578" s="178"/>
    </row>
    <row r="579" spans="1:7" ht="12.75">
      <c r="A579" s="178"/>
      <c r="B579" s="178"/>
      <c r="C579" s="178"/>
      <c r="D579" s="178"/>
      <c r="E579" s="178"/>
      <c r="F579" s="178"/>
      <c r="G579" s="178"/>
    </row>
    <row r="580" spans="1:7" ht="12.75">
      <c r="A580" s="178"/>
      <c r="B580" s="178"/>
      <c r="C580" s="178"/>
      <c r="D580" s="178"/>
      <c r="E580" s="178"/>
      <c r="F580" s="178"/>
      <c r="G580" s="178"/>
    </row>
    <row r="581" spans="1:7" ht="12.75">
      <c r="A581" s="178"/>
      <c r="B581" s="178"/>
      <c r="C581" s="178"/>
      <c r="D581" s="178"/>
      <c r="E581" s="178"/>
      <c r="F581" s="178"/>
      <c r="G581" s="178"/>
    </row>
    <row r="582" spans="1:7" ht="12.75">
      <c r="A582" s="178"/>
      <c r="B582" s="178"/>
      <c r="C582" s="178"/>
      <c r="D582" s="178"/>
      <c r="E582" s="178"/>
      <c r="F582" s="178"/>
      <c r="G582" s="178"/>
    </row>
    <row r="583" spans="1:7" ht="12.75">
      <c r="A583" s="178"/>
      <c r="B583" s="178"/>
      <c r="C583" s="178"/>
      <c r="D583" s="178"/>
      <c r="E583" s="178"/>
      <c r="F583" s="178"/>
      <c r="G583" s="178"/>
    </row>
    <row r="584" spans="1:7" ht="12.75">
      <c r="A584" s="178"/>
      <c r="B584" s="178"/>
      <c r="C584" s="178"/>
      <c r="D584" s="178"/>
      <c r="E584" s="178"/>
      <c r="F584" s="178"/>
      <c r="G584" s="178"/>
    </row>
    <row r="585" spans="1:7" ht="12.75">
      <c r="A585" s="178"/>
      <c r="B585" s="178"/>
      <c r="C585" s="178"/>
      <c r="D585" s="178"/>
      <c r="E585" s="178"/>
      <c r="F585" s="178"/>
      <c r="G585" s="178"/>
    </row>
    <row r="586" spans="1:7" ht="12.75">
      <c r="A586" s="178"/>
      <c r="B586" s="178"/>
      <c r="C586" s="178"/>
      <c r="D586" s="178"/>
      <c r="E586" s="178"/>
      <c r="F586" s="178"/>
      <c r="G586" s="178"/>
    </row>
    <row r="587" spans="1:7" ht="12.75">
      <c r="A587" s="178"/>
      <c r="B587" s="178"/>
      <c r="C587" s="178"/>
      <c r="D587" s="178"/>
      <c r="E587" s="178"/>
      <c r="F587" s="178"/>
      <c r="G587" s="178"/>
    </row>
    <row r="588" spans="1:7" ht="12.75">
      <c r="A588" s="178"/>
      <c r="B588" s="178"/>
      <c r="C588" s="178"/>
      <c r="D588" s="178"/>
      <c r="E588" s="178"/>
      <c r="F588" s="178"/>
      <c r="G588" s="178"/>
    </row>
    <row r="589" spans="1:7" ht="12.75">
      <c r="A589" s="178"/>
      <c r="B589" s="178"/>
      <c r="C589" s="178"/>
      <c r="D589" s="178"/>
      <c r="E589" s="178"/>
      <c r="F589" s="178"/>
      <c r="G589" s="178"/>
    </row>
    <row r="590" spans="1:7" ht="12.75">
      <c r="A590" s="178"/>
      <c r="B590" s="178"/>
      <c r="C590" s="178"/>
      <c r="D590" s="178"/>
      <c r="E590" s="178"/>
      <c r="F590" s="178"/>
      <c r="G590" s="178"/>
    </row>
    <row r="591" spans="1:7" ht="12.75">
      <c r="A591" s="178"/>
      <c r="B591" s="178"/>
      <c r="C591" s="178"/>
      <c r="D591" s="178"/>
      <c r="E591" s="178"/>
      <c r="F591" s="178"/>
      <c r="G591" s="178"/>
    </row>
    <row r="592" spans="1:7" ht="12.75">
      <c r="A592" s="178"/>
      <c r="B592" s="178"/>
      <c r="C592" s="178"/>
      <c r="D592" s="178"/>
      <c r="E592" s="178"/>
      <c r="F592" s="178"/>
      <c r="G592" s="178"/>
    </row>
    <row r="593" spans="1:7" ht="12.75">
      <c r="A593" s="178"/>
      <c r="B593" s="178"/>
      <c r="C593" s="178"/>
      <c r="D593" s="178"/>
      <c r="E593" s="178"/>
      <c r="F593" s="178"/>
      <c r="G593" s="178"/>
    </row>
    <row r="594" spans="1:7" ht="12.75">
      <c r="A594" s="178"/>
      <c r="B594" s="178"/>
      <c r="C594" s="178"/>
      <c r="D594" s="178"/>
      <c r="E594" s="178"/>
      <c r="F594" s="178"/>
      <c r="G594" s="178"/>
    </row>
    <row r="595" spans="1:7" ht="12.75">
      <c r="A595" s="178"/>
      <c r="B595" s="178"/>
      <c r="C595" s="178"/>
      <c r="D595" s="178"/>
      <c r="E595" s="178"/>
      <c r="F595" s="178"/>
      <c r="G595" s="178"/>
    </row>
    <row r="596" spans="1:7" ht="12.75">
      <c r="A596" s="178"/>
      <c r="B596" s="178"/>
      <c r="C596" s="178"/>
      <c r="D596" s="178"/>
      <c r="E596" s="178"/>
      <c r="F596" s="178"/>
      <c r="G596" s="178"/>
    </row>
    <row r="597" spans="1:7" ht="12.75">
      <c r="A597" s="178"/>
      <c r="B597" s="178"/>
      <c r="C597" s="178"/>
      <c r="D597" s="178"/>
      <c r="E597" s="178"/>
      <c r="F597" s="178"/>
      <c r="G597" s="178"/>
    </row>
    <row r="598" spans="1:7" ht="12.75">
      <c r="A598" s="178"/>
      <c r="B598" s="178"/>
      <c r="C598" s="178"/>
      <c r="D598" s="178"/>
      <c r="E598" s="178"/>
      <c r="F598" s="178"/>
      <c r="G598" s="178"/>
    </row>
    <row r="599" spans="1:7" ht="12.75">
      <c r="A599" s="178"/>
      <c r="B599" s="178"/>
      <c r="C599" s="178"/>
      <c r="D599" s="178"/>
      <c r="E599" s="178"/>
      <c r="F599" s="178"/>
      <c r="G599" s="178"/>
    </row>
    <row r="600" spans="1:7" ht="12.75">
      <c r="A600" s="178"/>
      <c r="B600" s="178"/>
      <c r="C600" s="178"/>
      <c r="D600" s="178"/>
      <c r="E600" s="178"/>
      <c r="F600" s="178"/>
      <c r="G600" s="178"/>
    </row>
    <row r="601" spans="1:7" ht="12.75">
      <c r="A601" s="178"/>
      <c r="B601" s="178"/>
      <c r="C601" s="178"/>
      <c r="D601" s="178"/>
      <c r="E601" s="178"/>
      <c r="F601" s="178"/>
      <c r="G601" s="178"/>
    </row>
    <row r="602" spans="1:7" ht="12.75">
      <c r="A602" s="178"/>
      <c r="B602" s="178"/>
      <c r="C602" s="178"/>
      <c r="D602" s="178"/>
      <c r="E602" s="178"/>
      <c r="F602" s="178"/>
      <c r="G602" s="178"/>
    </row>
    <row r="603" spans="1:7" ht="12.75">
      <c r="A603" s="178"/>
      <c r="B603" s="178"/>
      <c r="C603" s="178"/>
      <c r="D603" s="178"/>
      <c r="E603" s="178"/>
      <c r="F603" s="178"/>
      <c r="G603" s="178"/>
    </row>
    <row r="604" spans="1:7" ht="12.75">
      <c r="A604" s="178"/>
      <c r="B604" s="178"/>
      <c r="C604" s="178"/>
      <c r="D604" s="178"/>
      <c r="E604" s="178"/>
      <c r="F604" s="178"/>
      <c r="G604" s="178"/>
    </row>
    <row r="605" spans="1:7" ht="12.75">
      <c r="A605" s="178"/>
      <c r="B605" s="178"/>
      <c r="C605" s="178"/>
      <c r="D605" s="178"/>
      <c r="E605" s="178"/>
      <c r="F605" s="178"/>
      <c r="G605" s="178"/>
    </row>
    <row r="606" spans="1:7" ht="12.75">
      <c r="A606" s="178"/>
      <c r="B606" s="178"/>
      <c r="C606" s="178"/>
      <c r="D606" s="178"/>
      <c r="E606" s="178"/>
      <c r="F606" s="178"/>
      <c r="G606" s="178"/>
    </row>
    <row r="607" spans="1:7" ht="12.75">
      <c r="A607" s="178"/>
      <c r="B607" s="178"/>
      <c r="C607" s="178"/>
      <c r="D607" s="178"/>
      <c r="E607" s="178"/>
      <c r="F607" s="178"/>
      <c r="G607" s="178"/>
    </row>
    <row r="608" spans="1:7" ht="12.75">
      <c r="A608" s="178"/>
      <c r="B608" s="178"/>
      <c r="C608" s="178"/>
      <c r="D608" s="178"/>
      <c r="E608" s="178"/>
      <c r="F608" s="178"/>
      <c r="G608" s="178"/>
    </row>
    <row r="609" spans="1:7" ht="12.75">
      <c r="A609" s="178"/>
      <c r="B609" s="178"/>
      <c r="C609" s="178"/>
      <c r="D609" s="178"/>
      <c r="E609" s="178"/>
      <c r="F609" s="178"/>
      <c r="G609" s="178"/>
    </row>
    <row r="610" spans="1:7" ht="12.75">
      <c r="A610" s="178"/>
      <c r="B610" s="178"/>
      <c r="C610" s="178"/>
      <c r="D610" s="178"/>
      <c r="E610" s="178"/>
      <c r="F610" s="178"/>
      <c r="G610" s="178"/>
    </row>
    <row r="611" spans="1:7" ht="12.75">
      <c r="A611" s="178"/>
      <c r="B611" s="178"/>
      <c r="C611" s="178"/>
      <c r="D611" s="178"/>
      <c r="E611" s="178"/>
      <c r="F611" s="178"/>
      <c r="G611" s="178"/>
    </row>
    <row r="612" spans="1:7" ht="12.75">
      <c r="A612" s="178"/>
      <c r="B612" s="178"/>
      <c r="C612" s="178"/>
      <c r="D612" s="178"/>
      <c r="E612" s="178"/>
      <c r="F612" s="178"/>
      <c r="G612" s="178"/>
    </row>
    <row r="613" spans="1:7" ht="12.75">
      <c r="A613" s="178"/>
      <c r="B613" s="178"/>
      <c r="C613" s="178"/>
      <c r="D613" s="178"/>
      <c r="E613" s="178"/>
      <c r="F613" s="178"/>
      <c r="G613" s="178"/>
    </row>
    <row r="614" spans="1:7" ht="12.75">
      <c r="A614" s="178"/>
      <c r="B614" s="178"/>
      <c r="C614" s="178"/>
      <c r="D614" s="178"/>
      <c r="E614" s="178"/>
      <c r="F614" s="178"/>
      <c r="G614" s="178"/>
    </row>
    <row r="615" spans="1:7" ht="12.75">
      <c r="A615" s="178"/>
      <c r="B615" s="178"/>
      <c r="C615" s="178"/>
      <c r="D615" s="178"/>
      <c r="E615" s="178"/>
      <c r="F615" s="178"/>
      <c r="G615" s="178"/>
    </row>
    <row r="616" spans="1:7" ht="12.75">
      <c r="A616" s="178"/>
      <c r="B616" s="178"/>
      <c r="C616" s="178"/>
      <c r="D616" s="178"/>
      <c r="E616" s="178"/>
      <c r="F616" s="178"/>
      <c r="G616" s="178"/>
    </row>
    <row r="617" spans="1:7" ht="12.75">
      <c r="A617" s="178"/>
      <c r="B617" s="178"/>
      <c r="C617" s="178"/>
      <c r="D617" s="178"/>
      <c r="E617" s="178"/>
      <c r="F617" s="178"/>
      <c r="G617" s="178"/>
    </row>
    <row r="618" spans="1:7" ht="12.75">
      <c r="A618" s="178"/>
      <c r="B618" s="178"/>
      <c r="C618" s="178"/>
      <c r="D618" s="178"/>
      <c r="E618" s="178"/>
      <c r="F618" s="178"/>
      <c r="G618" s="178"/>
    </row>
    <row r="619" spans="1:7" ht="12.75">
      <c r="A619" s="178"/>
      <c r="B619" s="178"/>
      <c r="C619" s="178"/>
      <c r="D619" s="178"/>
      <c r="E619" s="178"/>
      <c r="F619" s="178"/>
      <c r="G619" s="178"/>
    </row>
    <row r="620" spans="1:7" ht="12.75">
      <c r="A620" s="178"/>
      <c r="B620" s="178"/>
      <c r="C620" s="178"/>
      <c r="D620" s="178"/>
      <c r="E620" s="178"/>
      <c r="F620" s="178"/>
      <c r="G620" s="178"/>
    </row>
    <row r="621" spans="1:7" ht="12.75">
      <c r="A621" s="178"/>
      <c r="B621" s="178"/>
      <c r="C621" s="178"/>
      <c r="D621" s="178"/>
      <c r="E621" s="178"/>
      <c r="F621" s="178"/>
      <c r="G621" s="178"/>
    </row>
    <row r="622" spans="1:7" ht="12.75">
      <c r="A622" s="178"/>
      <c r="B622" s="178"/>
      <c r="C622" s="178"/>
      <c r="D622" s="178"/>
      <c r="E622" s="178"/>
      <c r="F622" s="178"/>
      <c r="G622" s="178"/>
    </row>
    <row r="623" spans="1:7" ht="12.75">
      <c r="A623" s="178"/>
      <c r="B623" s="178"/>
      <c r="C623" s="178"/>
      <c r="D623" s="178"/>
      <c r="E623" s="178"/>
      <c r="F623" s="178"/>
      <c r="G623" s="178"/>
    </row>
    <row r="624" spans="1:7" ht="12.75">
      <c r="A624" s="178"/>
      <c r="B624" s="178"/>
      <c r="C624" s="178"/>
      <c r="D624" s="178"/>
      <c r="E624" s="178"/>
      <c r="F624" s="178"/>
      <c r="G624" s="178"/>
    </row>
    <row r="625" spans="1:7" ht="12.75">
      <c r="A625" s="178"/>
      <c r="B625" s="178"/>
      <c r="C625" s="178"/>
      <c r="D625" s="178"/>
      <c r="E625" s="178"/>
      <c r="F625" s="178"/>
      <c r="G625" s="178"/>
    </row>
    <row r="626" spans="1:7" ht="12.75">
      <c r="A626" s="178"/>
      <c r="B626" s="178"/>
      <c r="C626" s="178"/>
      <c r="D626" s="178"/>
      <c r="E626" s="178"/>
      <c r="F626" s="178"/>
      <c r="G626" s="178"/>
    </row>
    <row r="627" spans="1:7" ht="12.75">
      <c r="A627" s="178"/>
      <c r="B627" s="178"/>
      <c r="C627" s="178"/>
      <c r="D627" s="178"/>
      <c r="E627" s="178"/>
      <c r="F627" s="178"/>
      <c r="G627" s="178"/>
    </row>
    <row r="628" spans="1:7" ht="12.75">
      <c r="A628" s="178"/>
      <c r="B628" s="178"/>
      <c r="C628" s="178"/>
      <c r="D628" s="178"/>
      <c r="E628" s="178"/>
      <c r="F628" s="178"/>
      <c r="G628" s="178"/>
    </row>
    <row r="629" spans="1:7" ht="12.75">
      <c r="A629" s="178"/>
      <c r="B629" s="178"/>
      <c r="C629" s="178"/>
      <c r="D629" s="178"/>
      <c r="E629" s="178"/>
      <c r="F629" s="178"/>
      <c r="G629" s="178"/>
    </row>
    <row r="630" spans="1:7" ht="12.75">
      <c r="A630" s="178"/>
      <c r="B630" s="178"/>
      <c r="C630" s="178"/>
      <c r="D630" s="178"/>
      <c r="E630" s="178"/>
      <c r="F630" s="178"/>
      <c r="G630" s="178"/>
    </row>
    <row r="631" spans="1:7" ht="12.75">
      <c r="A631" s="178"/>
      <c r="B631" s="178"/>
      <c r="C631" s="178"/>
      <c r="D631" s="178"/>
      <c r="E631" s="178"/>
      <c r="F631" s="178"/>
      <c r="G631" s="178"/>
    </row>
    <row r="632" spans="1:7" ht="12.75">
      <c r="A632" s="178"/>
      <c r="B632" s="178"/>
      <c r="C632" s="178"/>
      <c r="D632" s="178"/>
      <c r="E632" s="178"/>
      <c r="F632" s="178"/>
      <c r="G632" s="178"/>
    </row>
    <row r="633" spans="1:7" ht="12.75">
      <c r="A633" s="178"/>
      <c r="B633" s="178"/>
      <c r="C633" s="178"/>
      <c r="D633" s="178"/>
      <c r="E633" s="178"/>
      <c r="F633" s="178"/>
      <c r="G633" s="178"/>
    </row>
    <row r="634" spans="1:7" ht="12.75">
      <c r="A634" s="178"/>
      <c r="B634" s="178"/>
      <c r="C634" s="178"/>
      <c r="D634" s="178"/>
      <c r="E634" s="178"/>
      <c r="F634" s="178"/>
      <c r="G634" s="178"/>
    </row>
    <row r="635" spans="1:7" ht="12.75">
      <c r="A635" s="178"/>
      <c r="B635" s="178"/>
      <c r="C635" s="178"/>
      <c r="D635" s="178"/>
      <c r="E635" s="178"/>
      <c r="F635" s="178"/>
      <c r="G635" s="178"/>
    </row>
    <row r="636" spans="1:7" ht="12.75">
      <c r="A636" s="178"/>
      <c r="B636" s="178"/>
      <c r="C636" s="178"/>
      <c r="D636" s="178"/>
      <c r="E636" s="178"/>
      <c r="F636" s="178"/>
      <c r="G636" s="178"/>
    </row>
    <row r="637" spans="1:7" ht="12.75">
      <c r="A637" s="178"/>
      <c r="B637" s="178"/>
      <c r="C637" s="178"/>
      <c r="D637" s="178"/>
      <c r="E637" s="178"/>
      <c r="F637" s="178"/>
      <c r="G637" s="178"/>
    </row>
    <row r="638" spans="1:7" ht="12.75">
      <c r="A638" s="178"/>
      <c r="B638" s="178"/>
      <c r="C638" s="178"/>
      <c r="D638" s="178"/>
      <c r="E638" s="178"/>
      <c r="F638" s="178"/>
      <c r="G638" s="178"/>
    </row>
    <row r="639" spans="1:7" ht="12.75">
      <c r="A639" s="178"/>
      <c r="B639" s="178"/>
      <c r="C639" s="178"/>
      <c r="D639" s="178"/>
      <c r="E639" s="178"/>
      <c r="F639" s="178"/>
      <c r="G639" s="178"/>
    </row>
    <row r="640" spans="1:7" ht="12.75">
      <c r="A640" s="178"/>
      <c r="B640" s="178"/>
      <c r="C640" s="178"/>
      <c r="D640" s="178"/>
      <c r="E640" s="178"/>
      <c r="F640" s="178"/>
      <c r="G640" s="178"/>
    </row>
    <row r="641" spans="1:7" ht="12.75">
      <c r="A641" s="178"/>
      <c r="B641" s="178"/>
      <c r="C641" s="178"/>
      <c r="D641" s="178"/>
      <c r="E641" s="178"/>
      <c r="F641" s="178"/>
      <c r="G641" s="178"/>
    </row>
    <row r="642" spans="1:7" ht="12.75">
      <c r="A642" s="178"/>
      <c r="B642" s="178"/>
      <c r="C642" s="178"/>
      <c r="D642" s="178"/>
      <c r="E642" s="178"/>
      <c r="F642" s="178"/>
      <c r="G642" s="178"/>
    </row>
    <row r="643" spans="1:7" ht="12.75">
      <c r="A643" s="178"/>
      <c r="B643" s="178"/>
      <c r="C643" s="178"/>
      <c r="D643" s="178"/>
      <c r="E643" s="178"/>
      <c r="F643" s="178"/>
      <c r="G643" s="178"/>
    </row>
    <row r="644" spans="1:7" ht="12.75">
      <c r="A644" s="178"/>
      <c r="B644" s="178"/>
      <c r="C644" s="178"/>
      <c r="D644" s="178"/>
      <c r="E644" s="178"/>
      <c r="F644" s="178"/>
      <c r="G644" s="178"/>
    </row>
    <row r="645" spans="1:7" ht="12.75">
      <c r="A645" s="178"/>
      <c r="B645" s="178"/>
      <c r="C645" s="178"/>
      <c r="D645" s="178"/>
      <c r="E645" s="178"/>
      <c r="F645" s="178"/>
      <c r="G645" s="178"/>
    </row>
    <row r="646" spans="1:7" ht="12.75">
      <c r="A646" s="178"/>
      <c r="B646" s="178"/>
      <c r="C646" s="178"/>
      <c r="D646" s="178"/>
      <c r="E646" s="178"/>
      <c r="F646" s="178"/>
      <c r="G646" s="178"/>
    </row>
    <row r="647" spans="1:7" ht="12.75">
      <c r="A647" s="178"/>
      <c r="B647" s="178"/>
      <c r="C647" s="178"/>
      <c r="D647" s="178"/>
      <c r="E647" s="178"/>
      <c r="F647" s="178"/>
      <c r="G647" s="178"/>
    </row>
    <row r="648" spans="1:7" ht="12.75">
      <c r="A648" s="178"/>
      <c r="B648" s="178"/>
      <c r="C648" s="178"/>
      <c r="D648" s="178"/>
      <c r="E648" s="178"/>
      <c r="F648" s="178"/>
      <c r="G648" s="178"/>
    </row>
    <row r="649" spans="1:7" ht="12.75">
      <c r="A649" s="178"/>
      <c r="B649" s="178"/>
      <c r="C649" s="178"/>
      <c r="D649" s="178"/>
      <c r="E649" s="178"/>
      <c r="F649" s="178"/>
      <c r="G649" s="178"/>
    </row>
    <row r="650" spans="1:7" ht="12.75">
      <c r="A650" s="178"/>
      <c r="B650" s="178"/>
      <c r="C650" s="178"/>
      <c r="D650" s="178"/>
      <c r="E650" s="178"/>
      <c r="F650" s="178"/>
      <c r="G650" s="178"/>
    </row>
    <row r="651" spans="1:7" ht="12.75">
      <c r="A651" s="178"/>
      <c r="B651" s="178"/>
      <c r="C651" s="178"/>
      <c r="D651" s="178"/>
      <c r="E651" s="178"/>
      <c r="F651" s="178"/>
      <c r="G651" s="178"/>
    </row>
    <row r="652" spans="1:7" ht="12.75">
      <c r="A652" s="178"/>
      <c r="B652" s="178"/>
      <c r="C652" s="178"/>
      <c r="D652" s="178"/>
      <c r="E652" s="178"/>
      <c r="F652" s="178"/>
      <c r="G652" s="178"/>
    </row>
    <row r="653" spans="1:7" ht="12.75">
      <c r="A653" s="178"/>
      <c r="B653" s="178"/>
      <c r="C653" s="178"/>
      <c r="D653" s="178"/>
      <c r="E653" s="178"/>
      <c r="F653" s="178"/>
      <c r="G653" s="178"/>
    </row>
    <row r="654" spans="1:7" ht="12.75">
      <c r="A654" s="178"/>
      <c r="B654" s="178"/>
      <c r="C654" s="178"/>
      <c r="D654" s="178"/>
      <c r="E654" s="178"/>
      <c r="F654" s="178"/>
      <c r="G654" s="178"/>
    </row>
    <row r="655" spans="1:7" ht="12.75">
      <c r="A655" s="178"/>
      <c r="B655" s="178"/>
      <c r="C655" s="178"/>
      <c r="D655" s="178"/>
      <c r="E655" s="178"/>
      <c r="F655" s="178"/>
      <c r="G655" s="178"/>
    </row>
    <row r="656" spans="1:7" ht="12.75">
      <c r="A656" s="178"/>
      <c r="B656" s="178"/>
      <c r="C656" s="178"/>
      <c r="D656" s="178"/>
      <c r="E656" s="178"/>
      <c r="F656" s="178"/>
      <c r="G656" s="178"/>
    </row>
    <row r="657" spans="1:7" ht="12.75">
      <c r="A657" s="178"/>
      <c r="B657" s="178"/>
      <c r="C657" s="178"/>
      <c r="D657" s="178"/>
      <c r="E657" s="178"/>
      <c r="F657" s="178"/>
      <c r="G657" s="178"/>
    </row>
    <row r="658" spans="1:7" ht="12.75">
      <c r="A658" s="178"/>
      <c r="B658" s="178"/>
      <c r="C658" s="178"/>
      <c r="D658" s="178"/>
      <c r="E658" s="178"/>
      <c r="F658" s="178"/>
      <c r="G658" s="178"/>
    </row>
    <row r="659" spans="1:7" ht="12.75">
      <c r="A659" s="178"/>
      <c r="B659" s="178"/>
      <c r="C659" s="178"/>
      <c r="D659" s="178"/>
      <c r="E659" s="178"/>
      <c r="F659" s="178"/>
      <c r="G659" s="178"/>
    </row>
    <row r="660" spans="1:7" ht="12.75">
      <c r="A660" s="178"/>
      <c r="B660" s="178"/>
      <c r="C660" s="178"/>
      <c r="D660" s="178"/>
      <c r="E660" s="178"/>
      <c r="F660" s="178"/>
      <c r="G660" s="178"/>
    </row>
    <row r="661" spans="1:7" ht="12.75">
      <c r="A661" s="178"/>
      <c r="B661" s="178"/>
      <c r="C661" s="178"/>
      <c r="D661" s="178"/>
      <c r="E661" s="178"/>
      <c r="F661" s="178"/>
      <c r="G661" s="178"/>
    </row>
    <row r="662" spans="1:7" ht="12.75">
      <c r="A662" s="178"/>
      <c r="B662" s="178"/>
      <c r="C662" s="178"/>
      <c r="D662" s="178"/>
      <c r="E662" s="178"/>
      <c r="F662" s="178"/>
      <c r="G662" s="178"/>
    </row>
    <row r="663" spans="1:7" ht="12.75">
      <c r="A663" s="178"/>
      <c r="B663" s="178"/>
      <c r="C663" s="178"/>
      <c r="D663" s="178"/>
      <c r="E663" s="178"/>
      <c r="F663" s="178"/>
      <c r="G663" s="178"/>
    </row>
    <row r="664" spans="1:7" ht="12.75">
      <c r="A664" s="178"/>
      <c r="B664" s="178"/>
      <c r="C664" s="178"/>
      <c r="D664" s="178"/>
      <c r="E664" s="178"/>
      <c r="F664" s="178"/>
      <c r="G664" s="178"/>
    </row>
    <row r="665" spans="1:7" ht="12.75">
      <c r="A665" s="178"/>
      <c r="B665" s="178"/>
      <c r="C665" s="178"/>
      <c r="D665" s="178"/>
      <c r="E665" s="178"/>
      <c r="F665" s="178"/>
      <c r="G665" s="178"/>
    </row>
    <row r="666" spans="1:7" ht="12.75">
      <c r="A666" s="178"/>
      <c r="B666" s="178"/>
      <c r="C666" s="178"/>
      <c r="D666" s="178"/>
      <c r="E666" s="178"/>
      <c r="F666" s="178"/>
      <c r="G666" s="178"/>
    </row>
    <row r="667" spans="1:7" ht="12.75">
      <c r="A667" s="178"/>
      <c r="B667" s="178"/>
      <c r="C667" s="178"/>
      <c r="D667" s="178"/>
      <c r="E667" s="178"/>
      <c r="F667" s="178"/>
      <c r="G667" s="178"/>
    </row>
    <row r="668" spans="1:7" ht="12.75">
      <c r="A668" s="178"/>
      <c r="B668" s="178"/>
      <c r="C668" s="178"/>
      <c r="D668" s="178"/>
      <c r="E668" s="178"/>
      <c r="F668" s="178"/>
      <c r="G668" s="178"/>
    </row>
    <row r="669" spans="1:7" ht="12.75">
      <c r="A669" s="178"/>
      <c r="B669" s="178"/>
      <c r="C669" s="178"/>
      <c r="D669" s="178"/>
      <c r="E669" s="178"/>
      <c r="F669" s="178"/>
      <c r="G669" s="178"/>
    </row>
    <row r="670" spans="1:7" ht="12.75">
      <c r="A670" s="178"/>
      <c r="B670" s="178"/>
      <c r="C670" s="178"/>
      <c r="D670" s="178"/>
      <c r="E670" s="178"/>
      <c r="F670" s="178"/>
      <c r="G670" s="178"/>
    </row>
    <row r="671" spans="1:7" ht="12.75">
      <c r="A671" s="178"/>
      <c r="B671" s="178"/>
      <c r="C671" s="178"/>
      <c r="D671" s="178"/>
      <c r="E671" s="178"/>
      <c r="F671" s="178"/>
      <c r="G671" s="178"/>
    </row>
    <row r="672" spans="1:7" ht="12.75">
      <c r="A672" s="178"/>
      <c r="B672" s="178"/>
      <c r="C672" s="178"/>
      <c r="D672" s="178"/>
      <c r="E672" s="178"/>
      <c r="F672" s="178"/>
      <c r="G672" s="178"/>
    </row>
    <row r="673" spans="1:7" ht="12.75">
      <c r="A673" s="178"/>
      <c r="B673" s="178"/>
      <c r="C673" s="178"/>
      <c r="D673" s="178"/>
      <c r="E673" s="178"/>
      <c r="F673" s="178"/>
      <c r="G673" s="178"/>
    </row>
    <row r="674" spans="1:7" ht="12.75">
      <c r="A674" s="178"/>
      <c r="B674" s="178"/>
      <c r="C674" s="178"/>
      <c r="D674" s="178"/>
      <c r="E674" s="178"/>
      <c r="F674" s="178"/>
      <c r="G674" s="178"/>
    </row>
    <row r="675" spans="1:7" ht="12.75">
      <c r="A675" s="178"/>
      <c r="B675" s="178"/>
      <c r="C675" s="178"/>
      <c r="D675" s="178"/>
      <c r="E675" s="178"/>
      <c r="F675" s="178"/>
      <c r="G675" s="178"/>
    </row>
    <row r="676" spans="1:7" ht="12.75">
      <c r="A676" s="178"/>
      <c r="B676" s="178"/>
      <c r="C676" s="178"/>
      <c r="D676" s="178"/>
      <c r="E676" s="178"/>
      <c r="F676" s="178"/>
      <c r="G676" s="178"/>
    </row>
    <row r="677" spans="1:7" ht="12.75">
      <c r="A677" s="178"/>
      <c r="B677" s="178"/>
      <c r="C677" s="178"/>
      <c r="D677" s="178"/>
      <c r="E677" s="178"/>
      <c r="F677" s="178"/>
      <c r="G677" s="178"/>
    </row>
    <row r="678" spans="1:7" ht="12.75">
      <c r="A678" s="178"/>
      <c r="B678" s="178"/>
      <c r="C678" s="178"/>
      <c r="D678" s="178"/>
      <c r="E678" s="178"/>
      <c r="F678" s="178"/>
      <c r="G678" s="178"/>
    </row>
    <row r="679" spans="1:7" ht="12.75">
      <c r="A679" s="178"/>
      <c r="B679" s="178"/>
      <c r="C679" s="178"/>
      <c r="D679" s="178"/>
      <c r="E679" s="178"/>
      <c r="F679" s="178"/>
      <c r="G679" s="178"/>
    </row>
    <row r="680" spans="1:7" ht="12.75">
      <c r="A680" s="178"/>
      <c r="B680" s="178"/>
      <c r="C680" s="178"/>
      <c r="D680" s="178"/>
      <c r="E680" s="178"/>
      <c r="F680" s="178"/>
      <c r="G680" s="178"/>
    </row>
    <row r="681" spans="1:7" ht="12.75">
      <c r="A681" s="178"/>
      <c r="B681" s="178"/>
      <c r="C681" s="178"/>
      <c r="D681" s="178"/>
      <c r="E681" s="178"/>
      <c r="F681" s="178"/>
      <c r="G681" s="178"/>
    </row>
    <row r="682" spans="1:7" ht="12.75">
      <c r="A682" s="178"/>
      <c r="B682" s="178"/>
      <c r="C682" s="178"/>
      <c r="D682" s="178"/>
      <c r="E682" s="178"/>
      <c r="F682" s="178"/>
      <c r="G682" s="178"/>
    </row>
    <row r="683" spans="1:7" ht="12.75">
      <c r="A683" s="178"/>
      <c r="B683" s="178"/>
      <c r="C683" s="178"/>
      <c r="D683" s="178"/>
      <c r="E683" s="178"/>
      <c r="F683" s="178"/>
      <c r="G683" s="178"/>
    </row>
    <row r="684" spans="1:7" ht="12.75">
      <c r="A684" s="178"/>
      <c r="B684" s="178"/>
      <c r="C684" s="178"/>
      <c r="D684" s="178"/>
      <c r="E684" s="178"/>
      <c r="F684" s="178"/>
      <c r="G684" s="178"/>
    </row>
    <row r="685" spans="1:7" ht="12.75">
      <c r="A685" s="178"/>
      <c r="B685" s="178"/>
      <c r="C685" s="178"/>
      <c r="D685" s="178"/>
      <c r="E685" s="178"/>
      <c r="F685" s="178"/>
      <c r="G685" s="178"/>
    </row>
    <row r="686" spans="1:7" ht="12.75">
      <c r="A686" s="178"/>
      <c r="B686" s="178"/>
      <c r="C686" s="178"/>
      <c r="D686" s="178"/>
      <c r="E686" s="178"/>
      <c r="F686" s="178"/>
      <c r="G686" s="178"/>
    </row>
    <row r="687" spans="1:7" ht="12.75">
      <c r="A687" s="178"/>
      <c r="B687" s="178"/>
      <c r="C687" s="178"/>
      <c r="D687" s="178"/>
      <c r="E687" s="178"/>
      <c r="F687" s="178"/>
      <c r="G687" s="178"/>
    </row>
    <row r="688" spans="1:7" ht="12.75">
      <c r="A688" s="178"/>
      <c r="B688" s="178"/>
      <c r="C688" s="178"/>
      <c r="D688" s="178"/>
      <c r="E688" s="178"/>
      <c r="F688" s="178"/>
      <c r="G688" s="178"/>
    </row>
    <row r="689" spans="1:7" ht="12.75">
      <c r="A689" s="178"/>
      <c r="B689" s="178"/>
      <c r="C689" s="178"/>
      <c r="D689" s="178"/>
      <c r="E689" s="178"/>
      <c r="F689" s="178"/>
      <c r="G689" s="178"/>
    </row>
    <row r="690" spans="1:7" ht="12.75">
      <c r="A690" s="178"/>
      <c r="B690" s="178"/>
      <c r="C690" s="178"/>
      <c r="D690" s="178"/>
      <c r="E690" s="178"/>
      <c r="F690" s="178"/>
      <c r="G690" s="178"/>
    </row>
    <row r="691" spans="1:7" ht="12.75">
      <c r="A691" s="178"/>
      <c r="B691" s="178"/>
      <c r="C691" s="178"/>
      <c r="D691" s="178"/>
      <c r="E691" s="178"/>
      <c r="F691" s="178"/>
      <c r="G691" s="178"/>
    </row>
    <row r="692" spans="1:7" ht="12.75">
      <c r="A692" s="178"/>
      <c r="B692" s="178"/>
      <c r="C692" s="178"/>
      <c r="D692" s="178"/>
      <c r="E692" s="178"/>
      <c r="F692" s="178"/>
      <c r="G692" s="178"/>
    </row>
    <row r="693" spans="1:7" ht="12.75">
      <c r="A693" s="178"/>
      <c r="B693" s="178"/>
      <c r="C693" s="178"/>
      <c r="D693" s="178"/>
      <c r="E693" s="178"/>
      <c r="F693" s="178"/>
      <c r="G693" s="178"/>
    </row>
    <row r="694" spans="1:7" ht="12.75">
      <c r="A694" s="178"/>
      <c r="B694" s="178"/>
      <c r="C694" s="178"/>
      <c r="D694" s="178"/>
      <c r="E694" s="178"/>
      <c r="F694" s="178"/>
      <c r="G694" s="178"/>
    </row>
    <row r="695" spans="1:7" ht="12.75">
      <c r="A695" s="178"/>
      <c r="B695" s="178"/>
      <c r="C695" s="178"/>
      <c r="D695" s="178"/>
      <c r="E695" s="178"/>
      <c r="F695" s="178"/>
      <c r="G695" s="178"/>
    </row>
    <row r="696" spans="1:7" ht="12.75">
      <c r="A696" s="178"/>
      <c r="B696" s="178"/>
      <c r="C696" s="178"/>
      <c r="D696" s="178"/>
      <c r="E696" s="178"/>
      <c r="F696" s="178"/>
      <c r="G696" s="178"/>
    </row>
    <row r="697" spans="1:7" ht="12.75">
      <c r="A697" s="178"/>
      <c r="B697" s="178"/>
      <c r="C697" s="178"/>
      <c r="D697" s="178"/>
      <c r="E697" s="178"/>
      <c r="F697" s="178"/>
      <c r="G697" s="178"/>
    </row>
    <row r="698" spans="1:7" ht="12.75">
      <c r="A698" s="178"/>
      <c r="B698" s="178"/>
      <c r="C698" s="178"/>
      <c r="D698" s="178"/>
      <c r="E698" s="178"/>
      <c r="F698" s="178"/>
      <c r="G698" s="178"/>
    </row>
    <row r="699" spans="1:7" ht="12.75">
      <c r="A699" s="178"/>
      <c r="B699" s="178"/>
      <c r="C699" s="178"/>
      <c r="D699" s="178"/>
      <c r="E699" s="178"/>
      <c r="F699" s="178"/>
      <c r="G699" s="178"/>
    </row>
    <row r="700" spans="1:7" ht="12.75">
      <c r="A700" s="178"/>
      <c r="B700" s="178"/>
      <c r="C700" s="178"/>
      <c r="D700" s="178"/>
      <c r="E700" s="178"/>
      <c r="F700" s="178"/>
      <c r="G700" s="178"/>
    </row>
    <row r="701" spans="1:7" ht="12.75">
      <c r="A701" s="178"/>
      <c r="B701" s="178"/>
      <c r="C701" s="178"/>
      <c r="D701" s="178"/>
      <c r="E701" s="178"/>
      <c r="F701" s="178"/>
      <c r="G701" s="178"/>
    </row>
    <row r="702" spans="1:7" ht="12.75">
      <c r="A702" s="178"/>
      <c r="B702" s="178"/>
      <c r="C702" s="178"/>
      <c r="D702" s="178"/>
      <c r="E702" s="178"/>
      <c r="F702" s="178"/>
      <c r="G702" s="178"/>
    </row>
    <row r="703" spans="1:7" ht="12.75">
      <c r="A703" s="178"/>
      <c r="B703" s="178"/>
      <c r="C703" s="178"/>
      <c r="D703" s="178"/>
      <c r="E703" s="178"/>
      <c r="F703" s="178"/>
      <c r="G703" s="178"/>
    </row>
    <row r="704" spans="1:7" ht="12.75">
      <c r="A704" s="178"/>
      <c r="B704" s="178"/>
      <c r="C704" s="178"/>
      <c r="D704" s="178"/>
      <c r="E704" s="178"/>
      <c r="F704" s="178"/>
      <c r="G704" s="178"/>
    </row>
    <row r="705" spans="1:7" ht="12.75">
      <c r="A705" s="178"/>
      <c r="B705" s="178"/>
      <c r="C705" s="178"/>
      <c r="D705" s="178"/>
      <c r="E705" s="178"/>
      <c r="F705" s="178"/>
      <c r="G705" s="178"/>
    </row>
    <row r="706" spans="1:7" ht="12.75">
      <c r="A706" s="178"/>
      <c r="B706" s="178"/>
      <c r="C706" s="178"/>
      <c r="D706" s="178"/>
      <c r="E706" s="178"/>
      <c r="F706" s="178"/>
      <c r="G706" s="178"/>
    </row>
    <row r="707" spans="1:7" ht="12.75">
      <c r="A707" s="178"/>
      <c r="B707" s="178"/>
      <c r="C707" s="178"/>
      <c r="D707" s="178"/>
      <c r="E707" s="178"/>
      <c r="F707" s="178"/>
      <c r="G707" s="178"/>
    </row>
    <row r="708" spans="1:7" ht="12.75">
      <c r="A708" s="178"/>
      <c r="B708" s="178"/>
      <c r="C708" s="178"/>
      <c r="D708" s="178"/>
      <c r="E708" s="178"/>
      <c r="F708" s="178"/>
      <c r="G708" s="178"/>
    </row>
    <row r="709" spans="1:7" ht="12.75">
      <c r="A709" s="178"/>
      <c r="B709" s="178"/>
      <c r="C709" s="178"/>
      <c r="D709" s="178"/>
      <c r="E709" s="178"/>
      <c r="F709" s="178"/>
      <c r="G709" s="178"/>
    </row>
    <row r="710" spans="1:7" ht="12.75">
      <c r="A710" s="178"/>
      <c r="B710" s="178"/>
      <c r="C710" s="178"/>
      <c r="D710" s="178"/>
      <c r="E710" s="178"/>
      <c r="F710" s="178"/>
      <c r="G710" s="178"/>
    </row>
    <row r="711" spans="1:7" ht="12.75">
      <c r="A711" s="178"/>
      <c r="B711" s="178"/>
      <c r="C711" s="178"/>
      <c r="D711" s="178"/>
      <c r="E711" s="178"/>
      <c r="F711" s="178"/>
      <c r="G711" s="178"/>
    </row>
    <row r="712" spans="1:7" ht="12.75">
      <c r="A712" s="178"/>
      <c r="B712" s="178"/>
      <c r="C712" s="178"/>
      <c r="D712" s="178"/>
      <c r="E712" s="178"/>
      <c r="F712" s="178"/>
      <c r="G712" s="178"/>
    </row>
    <row r="713" spans="1:7" ht="12.75">
      <c r="A713" s="178"/>
      <c r="B713" s="178"/>
      <c r="C713" s="178"/>
      <c r="D713" s="178"/>
      <c r="E713" s="178"/>
      <c r="F713" s="178"/>
      <c r="G713" s="178"/>
    </row>
    <row r="714" spans="1:7" ht="12.75">
      <c r="A714" s="178"/>
      <c r="B714" s="178"/>
      <c r="C714" s="178"/>
      <c r="D714" s="178"/>
      <c r="E714" s="178"/>
      <c r="F714" s="178"/>
      <c r="G714" s="178"/>
    </row>
    <row r="715" spans="1:7" ht="12.75">
      <c r="A715" s="178"/>
      <c r="B715" s="178"/>
      <c r="C715" s="178"/>
      <c r="D715" s="178"/>
      <c r="E715" s="178"/>
      <c r="F715" s="178"/>
      <c r="G715" s="178"/>
    </row>
    <row r="716" spans="1:7" ht="12.75">
      <c r="A716" s="178"/>
      <c r="B716" s="178"/>
      <c r="C716" s="178"/>
      <c r="D716" s="178"/>
      <c r="E716" s="178"/>
      <c r="F716" s="178"/>
      <c r="G716" s="178"/>
    </row>
    <row r="717" spans="1:7" ht="12.75">
      <c r="A717" s="178"/>
      <c r="B717" s="178"/>
      <c r="C717" s="178"/>
      <c r="D717" s="178"/>
      <c r="E717" s="178"/>
      <c r="F717" s="178"/>
      <c r="G717" s="178"/>
    </row>
    <row r="718" spans="1:7" ht="12.75">
      <c r="A718" s="178"/>
      <c r="B718" s="178"/>
      <c r="C718" s="178"/>
      <c r="D718" s="178"/>
      <c r="E718" s="178"/>
      <c r="F718" s="178"/>
      <c r="G718" s="178"/>
    </row>
    <row r="719" spans="1:7" ht="12.75">
      <c r="A719" s="178"/>
      <c r="B719" s="178"/>
      <c r="C719" s="178"/>
      <c r="D719" s="178"/>
      <c r="E719" s="178"/>
      <c r="F719" s="178"/>
      <c r="G719" s="178"/>
    </row>
    <row r="720" spans="1:7" ht="12.75">
      <c r="A720" s="178"/>
      <c r="B720" s="178"/>
      <c r="C720" s="178"/>
      <c r="D720" s="178"/>
      <c r="E720" s="178"/>
      <c r="F720" s="178"/>
      <c r="G720" s="178"/>
    </row>
    <row r="721" spans="1:7" ht="12.75">
      <c r="A721" s="178"/>
      <c r="B721" s="178"/>
      <c r="C721" s="178"/>
      <c r="D721" s="178"/>
      <c r="E721" s="178"/>
      <c r="F721" s="178"/>
      <c r="G721" s="178"/>
    </row>
    <row r="722" spans="1:7" ht="12.75">
      <c r="A722" s="178"/>
      <c r="B722" s="178"/>
      <c r="C722" s="178"/>
      <c r="D722" s="178"/>
      <c r="E722" s="178"/>
      <c r="F722" s="178"/>
      <c r="G722" s="178"/>
    </row>
    <row r="723" spans="1:7" ht="12.75">
      <c r="A723" s="178"/>
      <c r="B723" s="178"/>
      <c r="C723" s="178"/>
      <c r="D723" s="178"/>
      <c r="E723" s="178"/>
      <c r="F723" s="178"/>
      <c r="G723" s="178"/>
    </row>
    <row r="724" spans="1:7" ht="12.75">
      <c r="A724" s="178"/>
      <c r="B724" s="178"/>
      <c r="C724" s="178"/>
      <c r="D724" s="178"/>
      <c r="E724" s="178"/>
      <c r="F724" s="178"/>
      <c r="G724" s="178"/>
    </row>
    <row r="725" spans="1:7" ht="12.75">
      <c r="A725" s="178"/>
      <c r="B725" s="178"/>
      <c r="C725" s="178"/>
      <c r="D725" s="178"/>
      <c r="E725" s="178"/>
      <c r="F725" s="178"/>
      <c r="G725" s="178"/>
    </row>
    <row r="726" spans="1:7" ht="12.75">
      <c r="A726" s="178"/>
      <c r="B726" s="178"/>
      <c r="C726" s="178"/>
      <c r="D726" s="178"/>
      <c r="E726" s="178"/>
      <c r="F726" s="178"/>
      <c r="G726" s="178"/>
    </row>
    <row r="727" spans="1:7" ht="12.75">
      <c r="A727" s="178"/>
      <c r="B727" s="178"/>
      <c r="C727" s="178"/>
      <c r="D727" s="178"/>
      <c r="E727" s="178"/>
      <c r="F727" s="178"/>
      <c r="G727" s="178"/>
    </row>
    <row r="728" spans="1:7" ht="12.75">
      <c r="A728" s="178"/>
      <c r="B728" s="178"/>
      <c r="C728" s="178"/>
      <c r="D728" s="178"/>
      <c r="E728" s="178"/>
      <c r="F728" s="178"/>
      <c r="G728" s="178"/>
    </row>
    <row r="729" spans="1:7" ht="12.75">
      <c r="A729" s="178"/>
      <c r="B729" s="178"/>
      <c r="C729" s="178"/>
      <c r="D729" s="178"/>
      <c r="E729" s="178"/>
      <c r="F729" s="178"/>
      <c r="G729" s="178"/>
    </row>
    <row r="730" spans="1:7" ht="12.75">
      <c r="A730" s="178"/>
      <c r="B730" s="178"/>
      <c r="C730" s="178"/>
      <c r="D730" s="178"/>
      <c r="E730" s="178"/>
      <c r="F730" s="178"/>
      <c r="G730" s="178"/>
    </row>
    <row r="731" spans="1:7" ht="12.75">
      <c r="A731" s="178"/>
      <c r="B731" s="178"/>
      <c r="C731" s="178"/>
      <c r="D731" s="178"/>
      <c r="E731" s="178"/>
      <c r="F731" s="178"/>
      <c r="G731" s="178"/>
    </row>
    <row r="732" spans="1:7" ht="12.75">
      <c r="A732" s="178"/>
      <c r="B732" s="178"/>
      <c r="C732" s="178"/>
      <c r="D732" s="178"/>
      <c r="E732" s="178"/>
      <c r="F732" s="178"/>
      <c r="G732" s="178"/>
    </row>
    <row r="733" spans="1:7" ht="12.75">
      <c r="A733" s="178"/>
      <c r="B733" s="178"/>
      <c r="C733" s="178"/>
      <c r="D733" s="178"/>
      <c r="E733" s="178"/>
      <c r="F733" s="178"/>
      <c r="G733" s="178"/>
    </row>
    <row r="734" spans="1:7" ht="12.75">
      <c r="A734" s="178"/>
      <c r="B734" s="178"/>
      <c r="C734" s="178"/>
      <c r="D734" s="178"/>
      <c r="E734" s="178"/>
      <c r="F734" s="178"/>
      <c r="G734" s="178"/>
    </row>
    <row r="735" spans="1:7" ht="12.75">
      <c r="A735" s="178"/>
      <c r="B735" s="178"/>
      <c r="C735" s="178"/>
      <c r="D735" s="178"/>
      <c r="E735" s="178"/>
      <c r="F735" s="178"/>
      <c r="G735" s="178"/>
    </row>
    <row r="736" spans="1:7" ht="12.75">
      <c r="A736" s="178"/>
      <c r="B736" s="178"/>
      <c r="C736" s="178"/>
      <c r="D736" s="178"/>
      <c r="E736" s="178"/>
      <c r="F736" s="178"/>
      <c r="G736" s="178"/>
    </row>
    <row r="737" spans="1:7" ht="12.75">
      <c r="A737" s="178"/>
      <c r="B737" s="178"/>
      <c r="C737" s="178"/>
      <c r="D737" s="178"/>
      <c r="E737" s="178"/>
      <c r="F737" s="178"/>
      <c r="G737" s="178"/>
    </row>
    <row r="738" spans="1:7" ht="12.75">
      <c r="A738" s="178"/>
      <c r="B738" s="178"/>
      <c r="C738" s="178"/>
      <c r="D738" s="178"/>
      <c r="E738" s="178"/>
      <c r="F738" s="178"/>
      <c r="G738" s="178"/>
    </row>
    <row r="739" spans="1:7" ht="12.75">
      <c r="A739" s="178"/>
      <c r="B739" s="178"/>
      <c r="C739" s="178"/>
      <c r="D739" s="178"/>
      <c r="E739" s="178"/>
      <c r="F739" s="178"/>
      <c r="G739" s="178"/>
    </row>
    <row r="740" spans="1:7" ht="12.75">
      <c r="A740" s="178"/>
      <c r="B740" s="178"/>
      <c r="C740" s="178"/>
      <c r="D740" s="178"/>
      <c r="E740" s="178"/>
      <c r="F740" s="178"/>
      <c r="G740" s="178"/>
    </row>
    <row r="741" spans="1:7" ht="12.75">
      <c r="A741" s="178"/>
      <c r="B741" s="178"/>
      <c r="C741" s="178"/>
      <c r="D741" s="178"/>
      <c r="E741" s="178"/>
      <c r="F741" s="178"/>
      <c r="G741" s="178"/>
    </row>
    <row r="742" spans="1:7" ht="12.75">
      <c r="A742" s="178"/>
      <c r="B742" s="178"/>
      <c r="C742" s="178"/>
      <c r="D742" s="178"/>
      <c r="E742" s="178"/>
      <c r="F742" s="178"/>
      <c r="G742" s="178"/>
    </row>
    <row r="743" spans="1:7" ht="12.75">
      <c r="A743" s="178"/>
      <c r="B743" s="178"/>
      <c r="C743" s="178"/>
      <c r="D743" s="178"/>
      <c r="E743" s="178"/>
      <c r="F743" s="178"/>
      <c r="G743" s="178"/>
    </row>
    <row r="744" spans="1:7" ht="12.75">
      <c r="A744" s="178"/>
      <c r="B744" s="178"/>
      <c r="C744" s="178"/>
      <c r="D744" s="178"/>
      <c r="E744" s="178"/>
      <c r="F744" s="178"/>
      <c r="G744" s="178"/>
    </row>
    <row r="745" spans="1:7" ht="12.75">
      <c r="A745" s="178"/>
      <c r="B745" s="178"/>
      <c r="C745" s="178"/>
      <c r="D745" s="178"/>
      <c r="E745" s="178"/>
      <c r="F745" s="178"/>
      <c r="G745" s="178"/>
    </row>
    <row r="746" spans="1:7" ht="12.75">
      <c r="A746" s="178"/>
      <c r="B746" s="178"/>
      <c r="C746" s="178"/>
      <c r="D746" s="178"/>
      <c r="E746" s="178"/>
      <c r="F746" s="178"/>
      <c r="G746" s="178"/>
    </row>
    <row r="747" spans="1:7" ht="12.75">
      <c r="A747" s="178"/>
      <c r="B747" s="178"/>
      <c r="C747" s="178"/>
      <c r="D747" s="178"/>
      <c r="E747" s="178"/>
      <c r="F747" s="178"/>
      <c r="G747" s="178"/>
    </row>
    <row r="748" spans="1:7" ht="12.75">
      <c r="A748" s="178"/>
      <c r="B748" s="178"/>
      <c r="C748" s="178"/>
      <c r="D748" s="178"/>
      <c r="E748" s="178"/>
      <c r="F748" s="178"/>
      <c r="G748" s="178"/>
    </row>
    <row r="749" spans="1:7" ht="12.75">
      <c r="A749" s="178"/>
      <c r="B749" s="178"/>
      <c r="C749" s="178"/>
      <c r="D749" s="178"/>
      <c r="E749" s="178"/>
      <c r="F749" s="178"/>
      <c r="G749" s="178"/>
    </row>
    <row r="750" spans="1:7" ht="12.75">
      <c r="A750" s="178"/>
      <c r="B750" s="178"/>
      <c r="C750" s="178"/>
      <c r="D750" s="178"/>
      <c r="E750" s="178"/>
      <c r="F750" s="178"/>
      <c r="G750" s="178"/>
    </row>
    <row r="751" spans="1:7" ht="12.75">
      <c r="A751" s="178"/>
      <c r="B751" s="178"/>
      <c r="C751" s="178"/>
      <c r="D751" s="178"/>
      <c r="E751" s="178"/>
      <c r="F751" s="178"/>
      <c r="G751" s="178"/>
    </row>
    <row r="752" spans="1:7" ht="12.75">
      <c r="A752" s="178"/>
      <c r="B752" s="178"/>
      <c r="C752" s="178"/>
      <c r="D752" s="178"/>
      <c r="E752" s="178"/>
      <c r="F752" s="178"/>
      <c r="G752" s="178"/>
    </row>
    <row r="753" spans="1:7" ht="12.75">
      <c r="A753" s="178"/>
      <c r="B753" s="178"/>
      <c r="C753" s="178"/>
      <c r="D753" s="178"/>
      <c r="E753" s="178"/>
      <c r="F753" s="178"/>
      <c r="G753" s="178"/>
    </row>
    <row r="754" spans="1:7" ht="12.75">
      <c r="A754" s="178"/>
      <c r="B754" s="178"/>
      <c r="C754" s="178"/>
      <c r="D754" s="178"/>
      <c r="E754" s="178"/>
      <c r="F754" s="178"/>
      <c r="G754" s="178"/>
    </row>
    <row r="755" spans="1:7" ht="12.75">
      <c r="A755" s="178"/>
      <c r="B755" s="178"/>
      <c r="C755" s="178"/>
      <c r="D755" s="178"/>
      <c r="E755" s="178"/>
      <c r="F755" s="178"/>
      <c r="G755" s="178"/>
    </row>
    <row r="756" spans="1:7" ht="12.75">
      <c r="A756" s="178"/>
      <c r="B756" s="178"/>
      <c r="C756" s="178"/>
      <c r="D756" s="178"/>
      <c r="E756" s="178"/>
      <c r="F756" s="178"/>
      <c r="G756" s="178"/>
    </row>
    <row r="757" spans="1:7" ht="12.75">
      <c r="A757" s="178"/>
      <c r="B757" s="178"/>
      <c r="C757" s="178"/>
      <c r="D757" s="178"/>
      <c r="E757" s="178"/>
      <c r="F757" s="178"/>
      <c r="G757" s="178"/>
    </row>
    <row r="758" spans="1:7" ht="12.75">
      <c r="A758" s="178"/>
      <c r="B758" s="178"/>
      <c r="C758" s="178"/>
      <c r="D758" s="178"/>
      <c r="E758" s="178"/>
      <c r="F758" s="178"/>
      <c r="G758" s="178"/>
    </row>
    <row r="759" spans="1:7" ht="12.75">
      <c r="A759" s="178"/>
      <c r="B759" s="178"/>
      <c r="C759" s="178"/>
      <c r="D759" s="178"/>
      <c r="E759" s="178"/>
      <c r="F759" s="178"/>
      <c r="G759" s="178"/>
    </row>
    <row r="760" spans="1:7" ht="12.75">
      <c r="A760" s="178"/>
      <c r="B760" s="178"/>
      <c r="C760" s="178"/>
      <c r="D760" s="178"/>
      <c r="E760" s="178"/>
      <c r="F760" s="178"/>
      <c r="G760" s="178"/>
    </row>
    <row r="761" spans="1:7" ht="12.75">
      <c r="A761" s="178"/>
      <c r="B761" s="178"/>
      <c r="C761" s="178"/>
      <c r="D761" s="178"/>
      <c r="E761" s="178"/>
      <c r="F761" s="178"/>
      <c r="G761" s="178"/>
    </row>
    <row r="762" spans="1:7" ht="12.75">
      <c r="A762" s="178"/>
      <c r="B762" s="178"/>
      <c r="C762" s="178"/>
      <c r="D762" s="178"/>
      <c r="E762" s="178"/>
      <c r="F762" s="178"/>
      <c r="G762" s="178"/>
    </row>
    <row r="763" spans="1:7" ht="12.75">
      <c r="A763" s="178"/>
      <c r="B763" s="178"/>
      <c r="C763" s="178"/>
      <c r="D763" s="178"/>
      <c r="E763" s="178"/>
      <c r="F763" s="178"/>
      <c r="G763" s="178"/>
    </row>
    <row r="764" spans="1:7" ht="12.75">
      <c r="A764" s="178"/>
      <c r="B764" s="178"/>
      <c r="C764" s="178"/>
      <c r="D764" s="178"/>
      <c r="E764" s="178"/>
      <c r="F764" s="178"/>
      <c r="G764" s="178"/>
    </row>
    <row r="765" spans="1:7" ht="12.75">
      <c r="A765" s="178"/>
      <c r="B765" s="178"/>
      <c r="C765" s="178"/>
      <c r="D765" s="178"/>
      <c r="E765" s="178"/>
      <c r="F765" s="178"/>
      <c r="G765" s="178"/>
    </row>
    <row r="766" spans="1:7" ht="12.75">
      <c r="A766" s="178"/>
      <c r="B766" s="178"/>
      <c r="C766" s="178"/>
      <c r="D766" s="178"/>
      <c r="E766" s="178"/>
      <c r="F766" s="178"/>
      <c r="G766" s="178"/>
    </row>
    <row r="767" spans="1:7" ht="12.75">
      <c r="A767" s="178"/>
      <c r="B767" s="178"/>
      <c r="C767" s="178"/>
      <c r="D767" s="178"/>
      <c r="E767" s="178"/>
      <c r="F767" s="178"/>
      <c r="G767" s="178"/>
    </row>
    <row r="768" spans="1:7" ht="12.75">
      <c r="A768" s="178"/>
      <c r="B768" s="178"/>
      <c r="C768" s="178"/>
      <c r="D768" s="178"/>
      <c r="E768" s="178"/>
      <c r="F768" s="178"/>
      <c r="G768" s="178"/>
    </row>
    <row r="769" spans="1:7" ht="12.75">
      <c r="A769" s="178"/>
      <c r="B769" s="178"/>
      <c r="C769" s="178"/>
      <c r="D769" s="178"/>
      <c r="E769" s="178"/>
      <c r="F769" s="178"/>
      <c r="G769" s="178"/>
    </row>
    <row r="770" spans="1:7" ht="12.75">
      <c r="A770" s="178"/>
      <c r="B770" s="178"/>
      <c r="C770" s="178"/>
      <c r="D770" s="178"/>
      <c r="E770" s="178"/>
      <c r="F770" s="178"/>
      <c r="G770" s="178"/>
    </row>
    <row r="771" spans="1:7" ht="12.75">
      <c r="A771" s="178"/>
      <c r="B771" s="178"/>
      <c r="C771" s="178"/>
      <c r="D771" s="178"/>
      <c r="E771" s="178"/>
      <c r="F771" s="178"/>
      <c r="G771" s="178"/>
    </row>
    <row r="772" spans="1:7" ht="12.75">
      <c r="A772" s="178"/>
      <c r="B772" s="178"/>
      <c r="C772" s="178"/>
      <c r="D772" s="178"/>
      <c r="E772" s="178"/>
      <c r="F772" s="178"/>
      <c r="G772" s="178"/>
    </row>
    <row r="773" spans="1:7" ht="12.75">
      <c r="A773" s="178"/>
      <c r="B773" s="178"/>
      <c r="C773" s="178"/>
      <c r="D773" s="178"/>
      <c r="E773" s="178"/>
      <c r="F773" s="178"/>
      <c r="G773" s="178"/>
    </row>
    <row r="774" spans="1:7" ht="12.75">
      <c r="A774" s="178"/>
      <c r="B774" s="178"/>
      <c r="C774" s="178"/>
      <c r="D774" s="178"/>
      <c r="E774" s="178"/>
      <c r="F774" s="178"/>
      <c r="G774" s="178"/>
    </row>
    <row r="775" spans="1:7" ht="12.75">
      <c r="A775" s="178"/>
      <c r="B775" s="178"/>
      <c r="C775" s="178"/>
      <c r="D775" s="178"/>
      <c r="E775" s="178"/>
      <c r="F775" s="178"/>
      <c r="G775" s="178"/>
    </row>
    <row r="776" spans="1:7" ht="12.75">
      <c r="A776" s="178"/>
      <c r="B776" s="178"/>
      <c r="C776" s="178"/>
      <c r="D776" s="178"/>
      <c r="E776" s="178"/>
      <c r="F776" s="178"/>
      <c r="G776" s="178"/>
    </row>
    <row r="777" spans="1:7" ht="12.75">
      <c r="A777" s="178"/>
      <c r="B777" s="178"/>
      <c r="C777" s="178"/>
      <c r="D777" s="178"/>
      <c r="E777" s="178"/>
      <c r="F777" s="178"/>
      <c r="G777" s="178"/>
    </row>
    <row r="778" spans="1:7" ht="12.75">
      <c r="A778" s="178"/>
      <c r="B778" s="178"/>
      <c r="C778" s="178"/>
      <c r="D778" s="178"/>
      <c r="E778" s="178"/>
      <c r="F778" s="178"/>
      <c r="G778" s="178"/>
    </row>
    <row r="779" spans="1:7" ht="12.75">
      <c r="A779" s="178"/>
      <c r="B779" s="178"/>
      <c r="C779" s="178"/>
      <c r="D779" s="178"/>
      <c r="E779" s="178"/>
      <c r="F779" s="178"/>
      <c r="G779" s="178"/>
    </row>
    <row r="780" spans="1:7" ht="12.75">
      <c r="A780" s="178"/>
      <c r="B780" s="178"/>
      <c r="C780" s="178"/>
      <c r="D780" s="178"/>
      <c r="E780" s="178"/>
      <c r="F780" s="178"/>
      <c r="G780" s="178"/>
    </row>
    <row r="781" spans="1:7" ht="12.75">
      <c r="A781" s="178"/>
      <c r="B781" s="178"/>
      <c r="C781" s="178"/>
      <c r="D781" s="178"/>
      <c r="E781" s="178"/>
      <c r="F781" s="178"/>
      <c r="G781" s="178"/>
    </row>
    <row r="782" spans="1:7" ht="12.75">
      <c r="A782" s="178"/>
      <c r="B782" s="178"/>
      <c r="C782" s="178"/>
      <c r="D782" s="178"/>
      <c r="E782" s="178"/>
      <c r="F782" s="178"/>
      <c r="G782" s="178"/>
    </row>
    <row r="783" spans="1:7" ht="12.75">
      <c r="A783" s="178"/>
      <c r="B783" s="178"/>
      <c r="C783" s="178"/>
      <c r="D783" s="178"/>
      <c r="E783" s="178"/>
      <c r="F783" s="178"/>
      <c r="G783" s="178"/>
    </row>
    <row r="784" spans="1:7" ht="12.75">
      <c r="A784" s="178"/>
      <c r="B784" s="178"/>
      <c r="C784" s="178"/>
      <c r="D784" s="178"/>
      <c r="E784" s="178"/>
      <c r="F784" s="178"/>
      <c r="G784" s="178"/>
    </row>
    <row r="785" spans="1:7" ht="12.75">
      <c r="A785" s="178"/>
      <c r="B785" s="178"/>
      <c r="C785" s="178"/>
      <c r="D785" s="178"/>
      <c r="E785" s="178"/>
      <c r="F785" s="178"/>
      <c r="G785" s="178"/>
    </row>
    <row r="786" spans="1:7" ht="12.75">
      <c r="A786" s="178"/>
      <c r="B786" s="178"/>
      <c r="C786" s="178"/>
      <c r="D786" s="178"/>
      <c r="E786" s="178"/>
      <c r="F786" s="178"/>
      <c r="G786" s="178"/>
    </row>
    <row r="787" spans="1:7" ht="12.75">
      <c r="A787" s="178"/>
      <c r="B787" s="178"/>
      <c r="C787" s="178"/>
      <c r="D787" s="178"/>
      <c r="E787" s="178"/>
      <c r="F787" s="178"/>
      <c r="G787" s="178"/>
    </row>
    <row r="788" spans="1:7" ht="12.75">
      <c r="A788" s="178"/>
      <c r="B788" s="178"/>
      <c r="C788" s="178"/>
      <c r="D788" s="178"/>
      <c r="E788" s="178"/>
      <c r="F788" s="178"/>
      <c r="G788" s="178"/>
    </row>
    <row r="789" spans="1:7" ht="12.75">
      <c r="A789" s="178"/>
      <c r="B789" s="178"/>
      <c r="C789" s="178"/>
      <c r="D789" s="178"/>
      <c r="E789" s="178"/>
      <c r="F789" s="178"/>
      <c r="G789" s="178"/>
    </row>
    <row r="790" spans="1:7" ht="12.75">
      <c r="A790" s="178"/>
      <c r="B790" s="178"/>
      <c r="C790" s="178"/>
      <c r="D790" s="178"/>
      <c r="E790" s="178"/>
      <c r="F790" s="178"/>
      <c r="G790" s="178"/>
    </row>
    <row r="791" spans="1:7" ht="12.75">
      <c r="A791" s="178"/>
      <c r="B791" s="178"/>
      <c r="C791" s="178"/>
      <c r="D791" s="178"/>
      <c r="E791" s="178"/>
      <c r="F791" s="178"/>
      <c r="G791" s="178"/>
    </row>
    <row r="792" spans="1:7" ht="12.75">
      <c r="A792" s="178"/>
      <c r="B792" s="178"/>
      <c r="C792" s="178"/>
      <c r="D792" s="178"/>
      <c r="E792" s="178"/>
      <c r="F792" s="178"/>
      <c r="G792" s="178"/>
    </row>
    <row r="793" spans="1:7" ht="12.75">
      <c r="A793" s="178"/>
      <c r="B793" s="178"/>
      <c r="C793" s="178"/>
      <c r="D793" s="178"/>
      <c r="E793" s="178"/>
      <c r="F793" s="178"/>
      <c r="G793" s="178"/>
    </row>
    <row r="794" spans="1:7" ht="12.75">
      <c r="A794" s="178"/>
      <c r="B794" s="178"/>
      <c r="C794" s="178"/>
      <c r="D794" s="178"/>
      <c r="E794" s="178"/>
      <c r="F794" s="178"/>
      <c r="G794" s="178"/>
    </row>
    <row r="795" spans="1:7" ht="12.75">
      <c r="A795" s="178"/>
      <c r="B795" s="178"/>
      <c r="C795" s="178"/>
      <c r="D795" s="178"/>
      <c r="E795" s="178"/>
      <c r="F795" s="178"/>
      <c r="G795" s="178"/>
    </row>
    <row r="796" spans="1:7" ht="12.75">
      <c r="A796" s="178"/>
      <c r="B796" s="178"/>
      <c r="C796" s="178"/>
      <c r="D796" s="178"/>
      <c r="E796" s="178"/>
      <c r="F796" s="178"/>
      <c r="G796" s="178"/>
    </row>
    <row r="797" spans="1:7" ht="12.75">
      <c r="A797" s="178"/>
      <c r="B797" s="178"/>
      <c r="C797" s="178"/>
      <c r="D797" s="178"/>
      <c r="E797" s="178"/>
      <c r="F797" s="178"/>
      <c r="G797" s="178"/>
    </row>
    <row r="798" spans="1:7" ht="12.75">
      <c r="A798" s="178"/>
      <c r="B798" s="178"/>
      <c r="C798" s="178"/>
      <c r="D798" s="178"/>
      <c r="E798" s="178"/>
      <c r="F798" s="178"/>
      <c r="G798" s="178"/>
    </row>
    <row r="799" spans="1:7" ht="12.75">
      <c r="A799" s="178"/>
      <c r="B799" s="178"/>
      <c r="C799" s="178"/>
      <c r="D799" s="178"/>
      <c r="E799" s="178"/>
      <c r="F799" s="178"/>
      <c r="G799" s="178"/>
    </row>
    <row r="800" spans="1:7" ht="12.75">
      <c r="A800" s="178"/>
      <c r="B800" s="178"/>
      <c r="C800" s="178"/>
      <c r="D800" s="178"/>
      <c r="E800" s="178"/>
      <c r="F800" s="178"/>
      <c r="G800" s="178"/>
    </row>
    <row r="801" spans="1:7" ht="12.75">
      <c r="A801" s="178"/>
      <c r="B801" s="178"/>
      <c r="C801" s="178"/>
      <c r="D801" s="178"/>
      <c r="E801" s="178"/>
      <c r="F801" s="178"/>
      <c r="G801" s="178"/>
    </row>
    <row r="802" spans="1:7" ht="12.75">
      <c r="A802" s="178"/>
      <c r="B802" s="178"/>
      <c r="C802" s="178"/>
      <c r="D802" s="178"/>
      <c r="E802" s="178"/>
      <c r="F802" s="178"/>
      <c r="G802" s="178"/>
    </row>
    <row r="803" spans="1:7" ht="12.75">
      <c r="A803" s="178"/>
      <c r="B803" s="178"/>
      <c r="C803" s="178"/>
      <c r="D803" s="178"/>
      <c r="E803" s="178"/>
      <c r="F803" s="178"/>
      <c r="G803" s="178"/>
    </row>
    <row r="804" spans="1:7" ht="12.75">
      <c r="A804" s="178"/>
      <c r="B804" s="178"/>
      <c r="C804" s="178"/>
      <c r="D804" s="178"/>
      <c r="E804" s="178"/>
      <c r="F804" s="178"/>
      <c r="G804" s="178"/>
    </row>
    <row r="805" spans="1:7" ht="12.75">
      <c r="A805" s="178"/>
      <c r="B805" s="178"/>
      <c r="C805" s="178"/>
      <c r="D805" s="178"/>
      <c r="E805" s="178"/>
      <c r="F805" s="178"/>
      <c r="G805" s="178"/>
    </row>
    <row r="806" spans="1:7" ht="12.75">
      <c r="A806" s="178"/>
      <c r="B806" s="178"/>
      <c r="C806" s="178"/>
      <c r="D806" s="178"/>
      <c r="E806" s="178"/>
      <c r="F806" s="178"/>
      <c r="G806" s="178"/>
    </row>
    <row r="807" spans="1:7" ht="12.75">
      <c r="A807" s="178"/>
      <c r="B807" s="178"/>
      <c r="C807" s="178"/>
      <c r="D807" s="178"/>
      <c r="E807" s="178"/>
      <c r="F807" s="178"/>
      <c r="G807" s="178"/>
    </row>
    <row r="808" spans="1:7" ht="12.75">
      <c r="A808" s="178"/>
      <c r="B808" s="178"/>
      <c r="C808" s="178"/>
      <c r="D808" s="178"/>
      <c r="E808" s="178"/>
      <c r="F808" s="178"/>
      <c r="G808" s="178"/>
    </row>
    <row r="809" spans="1:7" ht="12.75">
      <c r="A809" s="178"/>
      <c r="B809" s="178"/>
      <c r="C809" s="178"/>
      <c r="D809" s="178"/>
      <c r="E809" s="178"/>
      <c r="F809" s="178"/>
      <c r="G809" s="178"/>
    </row>
    <row r="810" spans="1:7" ht="12.75">
      <c r="A810" s="178"/>
      <c r="B810" s="178"/>
      <c r="C810" s="178"/>
      <c r="D810" s="178"/>
      <c r="E810" s="178"/>
      <c r="F810" s="178"/>
      <c r="G810" s="178"/>
    </row>
    <row r="811" spans="1:7" ht="12.75">
      <c r="A811" s="178"/>
      <c r="B811" s="178"/>
      <c r="C811" s="178"/>
      <c r="D811" s="178"/>
      <c r="E811" s="178"/>
      <c r="F811" s="178"/>
      <c r="G811" s="178"/>
    </row>
    <row r="812" spans="1:7" ht="12.75">
      <c r="A812" s="178"/>
      <c r="B812" s="178"/>
      <c r="C812" s="178"/>
      <c r="D812" s="178"/>
      <c r="E812" s="178"/>
      <c r="F812" s="178"/>
      <c r="G812" s="178"/>
    </row>
    <row r="813" spans="1:7" ht="12.75">
      <c r="A813" s="178"/>
      <c r="B813" s="178"/>
      <c r="C813" s="178"/>
      <c r="D813" s="178"/>
      <c r="E813" s="178"/>
      <c r="F813" s="178"/>
      <c r="G813" s="178"/>
    </row>
    <row r="814" spans="1:7" ht="12.75">
      <c r="A814" s="178"/>
      <c r="B814" s="178"/>
      <c r="C814" s="178"/>
      <c r="D814" s="178"/>
      <c r="E814" s="178"/>
      <c r="F814" s="178"/>
      <c r="G814" s="178"/>
    </row>
    <row r="815" spans="1:7" ht="12.75">
      <c r="A815" s="178"/>
      <c r="B815" s="178"/>
      <c r="C815" s="178"/>
      <c r="D815" s="178"/>
      <c r="E815" s="178"/>
      <c r="F815" s="178"/>
      <c r="G815" s="178"/>
    </row>
    <row r="816" spans="1:7" ht="12.75">
      <c r="A816" s="178"/>
      <c r="B816" s="178"/>
      <c r="C816" s="178"/>
      <c r="D816" s="178"/>
      <c r="E816" s="178"/>
      <c r="F816" s="178"/>
      <c r="G816" s="178"/>
    </row>
    <row r="817" spans="1:7" ht="12.75">
      <c r="A817" s="178"/>
      <c r="B817" s="178"/>
      <c r="C817" s="178"/>
      <c r="D817" s="178"/>
      <c r="E817" s="178"/>
      <c r="F817" s="178"/>
      <c r="G817" s="178"/>
    </row>
    <row r="818" spans="1:7" ht="12.75">
      <c r="A818" s="178"/>
      <c r="B818" s="178"/>
      <c r="C818" s="178"/>
      <c r="D818" s="178"/>
      <c r="E818" s="178"/>
      <c r="F818" s="178"/>
      <c r="G818" s="178"/>
    </row>
    <row r="819" spans="1:7" ht="12.75">
      <c r="A819" s="178"/>
      <c r="B819" s="178"/>
      <c r="C819" s="178"/>
      <c r="D819" s="178"/>
      <c r="E819" s="178"/>
      <c r="F819" s="178"/>
      <c r="G819" s="178"/>
    </row>
    <row r="820" spans="1:7" ht="12.75">
      <c r="A820" s="178"/>
      <c r="B820" s="178"/>
      <c r="C820" s="178"/>
      <c r="D820" s="178"/>
      <c r="E820" s="178"/>
      <c r="F820" s="178"/>
      <c r="G820" s="178"/>
    </row>
    <row r="821" spans="1:7" ht="12.75">
      <c r="A821" s="178"/>
      <c r="B821" s="178"/>
      <c r="C821" s="178"/>
      <c r="D821" s="178"/>
      <c r="E821" s="178"/>
      <c r="F821" s="178"/>
      <c r="G821" s="178"/>
    </row>
    <row r="822" spans="1:7" ht="12.75">
      <c r="A822" s="178"/>
      <c r="B822" s="178"/>
      <c r="C822" s="178"/>
      <c r="D822" s="178"/>
      <c r="E822" s="178"/>
      <c r="F822" s="178"/>
      <c r="G822" s="178"/>
    </row>
    <row r="823" spans="1:7" ht="12.75">
      <c r="A823" s="178"/>
      <c r="B823" s="178"/>
      <c r="C823" s="178"/>
      <c r="D823" s="178"/>
      <c r="E823" s="178"/>
      <c r="F823" s="178"/>
      <c r="G823" s="178"/>
    </row>
    <row r="824" spans="1:7" ht="12.75">
      <c r="A824" s="178"/>
      <c r="B824" s="178"/>
      <c r="C824" s="178"/>
      <c r="D824" s="178"/>
      <c r="E824" s="178"/>
      <c r="F824" s="178"/>
      <c r="G824" s="178"/>
    </row>
    <row r="825" spans="1:7" ht="12.75">
      <c r="A825" s="178"/>
      <c r="B825" s="178"/>
      <c r="C825" s="178"/>
      <c r="D825" s="178"/>
      <c r="E825" s="178"/>
      <c r="F825" s="178"/>
      <c r="G825" s="178"/>
    </row>
    <row r="826" spans="1:7" ht="12.75">
      <c r="A826" s="178"/>
      <c r="B826" s="178"/>
      <c r="C826" s="178"/>
      <c r="D826" s="178"/>
      <c r="E826" s="178"/>
      <c r="F826" s="178"/>
      <c r="G826" s="178"/>
    </row>
    <row r="827" spans="1:7" ht="12.75">
      <c r="A827" s="178"/>
      <c r="B827" s="178"/>
      <c r="C827" s="178"/>
      <c r="D827" s="178"/>
      <c r="E827" s="178"/>
      <c r="F827" s="178"/>
      <c r="G827" s="178"/>
    </row>
    <row r="828" spans="1:7" ht="12.75">
      <c r="A828" s="178"/>
      <c r="B828" s="178"/>
      <c r="C828" s="178"/>
      <c r="D828" s="178"/>
      <c r="E828" s="178"/>
      <c r="F828" s="178"/>
      <c r="G828" s="178"/>
    </row>
    <row r="829" spans="1:7" ht="12.75">
      <c r="A829" s="178"/>
      <c r="B829" s="178"/>
      <c r="C829" s="178"/>
      <c r="D829" s="178"/>
      <c r="E829" s="178"/>
      <c r="F829" s="178"/>
      <c r="G829" s="178"/>
    </row>
    <row r="830" spans="1:7" ht="12.75">
      <c r="A830" s="178"/>
      <c r="B830" s="178"/>
      <c r="C830" s="178"/>
      <c r="D830" s="178"/>
      <c r="E830" s="178"/>
      <c r="F830" s="178"/>
      <c r="G830" s="178"/>
    </row>
    <row r="831" spans="1:7" ht="12.75">
      <c r="A831" s="178"/>
      <c r="B831" s="178"/>
      <c r="C831" s="178"/>
      <c r="D831" s="178"/>
      <c r="E831" s="178"/>
      <c r="F831" s="178"/>
      <c r="G831" s="178"/>
    </row>
    <row r="832" spans="1:7" ht="12.75">
      <c r="A832" s="178"/>
      <c r="B832" s="178"/>
      <c r="C832" s="178"/>
      <c r="D832" s="178"/>
      <c r="E832" s="178"/>
      <c r="F832" s="178"/>
      <c r="G832" s="178"/>
    </row>
    <row r="833" spans="1:7" ht="12.75">
      <c r="A833" s="178"/>
      <c r="B833" s="178"/>
      <c r="C833" s="178"/>
      <c r="D833" s="178"/>
      <c r="E833" s="178"/>
      <c r="F833" s="178"/>
      <c r="G833" s="178"/>
    </row>
    <row r="834" spans="1:7" ht="12.75">
      <c r="A834" s="178"/>
      <c r="B834" s="178"/>
      <c r="C834" s="178"/>
      <c r="D834" s="178"/>
      <c r="E834" s="178"/>
      <c r="F834" s="178"/>
      <c r="G834" s="178"/>
    </row>
    <row r="835" spans="1:7" ht="12.75">
      <c r="A835" s="178"/>
      <c r="B835" s="178"/>
      <c r="C835" s="178"/>
      <c r="D835" s="178"/>
      <c r="E835" s="178"/>
      <c r="F835" s="178"/>
      <c r="G835" s="178"/>
    </row>
    <row r="836" spans="1:7" ht="12.75">
      <c r="A836" s="178"/>
      <c r="B836" s="178"/>
      <c r="C836" s="178"/>
      <c r="D836" s="178"/>
      <c r="E836" s="178"/>
      <c r="F836" s="178"/>
      <c r="G836" s="178"/>
    </row>
    <row r="837" spans="1:7" ht="12.75">
      <c r="A837" s="178"/>
      <c r="B837" s="178"/>
      <c r="C837" s="178"/>
      <c r="D837" s="178"/>
      <c r="E837" s="178"/>
      <c r="F837" s="178"/>
      <c r="G837" s="178"/>
    </row>
    <row r="838" spans="1:7" ht="12.75">
      <c r="A838" s="178"/>
      <c r="B838" s="178"/>
      <c r="C838" s="178"/>
      <c r="D838" s="178"/>
      <c r="E838" s="178"/>
      <c r="F838" s="178"/>
      <c r="G838" s="178"/>
    </row>
    <row r="839" spans="1:7" ht="12.75">
      <c r="A839" s="178"/>
      <c r="B839" s="178"/>
      <c r="C839" s="178"/>
      <c r="D839" s="178"/>
      <c r="E839" s="178"/>
      <c r="F839" s="178"/>
      <c r="G839" s="178"/>
    </row>
    <row r="840" spans="1:7" ht="12.75">
      <c r="A840" s="178"/>
      <c r="B840" s="178"/>
      <c r="C840" s="178"/>
      <c r="D840" s="178"/>
      <c r="E840" s="178"/>
      <c r="F840" s="178"/>
      <c r="G840" s="178"/>
    </row>
    <row r="841" spans="1:7" ht="12.75">
      <c r="A841" s="178"/>
      <c r="B841" s="178"/>
      <c r="C841" s="178"/>
      <c r="D841" s="178"/>
      <c r="E841" s="178"/>
      <c r="F841" s="178"/>
      <c r="G841" s="178"/>
    </row>
    <row r="842" spans="1:7" ht="12.75">
      <c r="A842" s="178"/>
      <c r="B842" s="178"/>
      <c r="C842" s="178"/>
      <c r="D842" s="178"/>
      <c r="E842" s="178"/>
      <c r="F842" s="178"/>
      <c r="G842" s="178"/>
    </row>
    <row r="843" spans="1:7" ht="12.75">
      <c r="A843" s="178"/>
      <c r="B843" s="178"/>
      <c r="C843" s="178"/>
      <c r="D843" s="178"/>
      <c r="E843" s="178"/>
      <c r="F843" s="178"/>
      <c r="G843" s="178"/>
    </row>
    <row r="844" spans="1:7" ht="12.75">
      <c r="A844" s="178"/>
      <c r="B844" s="178"/>
      <c r="C844" s="178"/>
      <c r="D844" s="178"/>
      <c r="E844" s="178"/>
      <c r="F844" s="178"/>
      <c r="G844" s="178"/>
    </row>
    <row r="845" spans="1:7" ht="12.75">
      <c r="A845" s="178"/>
      <c r="B845" s="178"/>
      <c r="C845" s="178"/>
      <c r="D845" s="178"/>
      <c r="E845" s="178"/>
      <c r="F845" s="178"/>
      <c r="G845" s="178"/>
    </row>
    <row r="846" spans="1:7" ht="12.75">
      <c r="A846" s="178"/>
      <c r="B846" s="178"/>
      <c r="C846" s="178"/>
      <c r="D846" s="178"/>
      <c r="E846" s="178"/>
      <c r="F846" s="178"/>
      <c r="G846" s="178"/>
    </row>
    <row r="847" spans="1:7" ht="12.75">
      <c r="A847" s="178"/>
      <c r="B847" s="178"/>
      <c r="C847" s="178"/>
      <c r="D847" s="178"/>
      <c r="E847" s="178"/>
      <c r="F847" s="178"/>
      <c r="G847" s="178"/>
    </row>
    <row r="848" spans="1:7" ht="12.75">
      <c r="A848" s="178"/>
      <c r="B848" s="178"/>
      <c r="C848" s="178"/>
      <c r="D848" s="178"/>
      <c r="E848" s="178"/>
      <c r="F848" s="178"/>
      <c r="G848" s="178"/>
    </row>
    <row r="849" spans="1:7" ht="12.75">
      <c r="A849" s="178"/>
      <c r="B849" s="178"/>
      <c r="C849" s="178"/>
      <c r="D849" s="178"/>
      <c r="E849" s="178"/>
      <c r="F849" s="178"/>
      <c r="G849" s="178"/>
    </row>
    <row r="850" spans="1:7" ht="12.75">
      <c r="A850" s="178"/>
      <c r="B850" s="178"/>
      <c r="C850" s="178"/>
      <c r="D850" s="178"/>
      <c r="E850" s="178"/>
      <c r="F850" s="178"/>
      <c r="G850" s="178"/>
    </row>
    <row r="851" spans="1:7" ht="12.75">
      <c r="A851" s="178"/>
      <c r="B851" s="178"/>
      <c r="C851" s="178"/>
      <c r="D851" s="178"/>
      <c r="E851" s="178"/>
      <c r="F851" s="178"/>
      <c r="G851" s="178"/>
    </row>
    <row r="852" spans="1:7" ht="12.75">
      <c r="A852" s="178"/>
      <c r="B852" s="178"/>
      <c r="C852" s="178"/>
      <c r="D852" s="178"/>
      <c r="E852" s="178"/>
      <c r="F852" s="178"/>
      <c r="G852" s="178"/>
    </row>
    <row r="853" spans="1:7" ht="12.75">
      <c r="A853" s="178"/>
      <c r="B853" s="178"/>
      <c r="C853" s="178"/>
      <c r="D853" s="178"/>
      <c r="E853" s="178"/>
      <c r="F853" s="178"/>
      <c r="G853" s="178"/>
    </row>
    <row r="854" spans="1:7" ht="12.75">
      <c r="A854" s="178"/>
      <c r="B854" s="178"/>
      <c r="C854" s="178"/>
      <c r="D854" s="178"/>
      <c r="E854" s="178"/>
      <c r="F854" s="178"/>
      <c r="G854" s="178"/>
    </row>
    <row r="855" spans="1:7" ht="12.75">
      <c r="A855" s="178"/>
      <c r="B855" s="178"/>
      <c r="C855" s="178"/>
      <c r="D855" s="178"/>
      <c r="E855" s="178"/>
      <c r="F855" s="178"/>
      <c r="G855" s="178"/>
    </row>
    <row r="856" spans="1:7" ht="12.75">
      <c r="A856" s="178"/>
      <c r="B856" s="178"/>
      <c r="C856" s="178"/>
      <c r="D856" s="178"/>
      <c r="E856" s="178"/>
      <c r="F856" s="178"/>
      <c r="G856" s="178"/>
    </row>
    <row r="857" spans="1:7" ht="12.75">
      <c r="A857" s="178"/>
      <c r="B857" s="178"/>
      <c r="C857" s="178"/>
      <c r="D857" s="178"/>
      <c r="E857" s="178"/>
      <c r="F857" s="178"/>
      <c r="G857" s="178"/>
    </row>
    <row r="858" spans="1:7" ht="12.75">
      <c r="A858" s="178"/>
      <c r="B858" s="178"/>
      <c r="C858" s="178"/>
      <c r="D858" s="178"/>
      <c r="E858" s="178"/>
      <c r="F858" s="178"/>
      <c r="G858" s="178"/>
    </row>
    <row r="859" spans="1:7" ht="12.75">
      <c r="A859" s="178"/>
      <c r="B859" s="178"/>
      <c r="C859" s="178"/>
      <c r="D859" s="178"/>
      <c r="E859" s="178"/>
      <c r="F859" s="178"/>
      <c r="G859" s="178"/>
    </row>
    <row r="860" spans="1:7" ht="12.75">
      <c r="A860" s="178"/>
      <c r="B860" s="178"/>
      <c r="C860" s="178"/>
      <c r="D860" s="178"/>
      <c r="E860" s="178"/>
      <c r="F860" s="178"/>
      <c r="G860" s="178"/>
    </row>
    <row r="861" spans="1:7" ht="12.75">
      <c r="A861" s="178"/>
      <c r="B861" s="178"/>
      <c r="C861" s="178"/>
      <c r="D861" s="178"/>
      <c r="E861" s="178"/>
      <c r="F861" s="178"/>
      <c r="G861" s="178"/>
    </row>
    <row r="862" spans="1:7" ht="12.75">
      <c r="A862" s="178"/>
      <c r="B862" s="178"/>
      <c r="C862" s="178"/>
      <c r="D862" s="178"/>
      <c r="E862" s="178"/>
      <c r="F862" s="178"/>
      <c r="G862" s="178"/>
    </row>
    <row r="863" spans="1:7" ht="12.75">
      <c r="A863" s="178"/>
      <c r="B863" s="178"/>
      <c r="C863" s="178"/>
      <c r="D863" s="178"/>
      <c r="E863" s="178"/>
      <c r="F863" s="178"/>
      <c r="G863" s="178"/>
    </row>
    <row r="864" spans="1:7" ht="12.75">
      <c r="A864" s="178"/>
      <c r="B864" s="178"/>
      <c r="C864" s="178"/>
      <c r="D864" s="178"/>
      <c r="E864" s="178"/>
      <c r="F864" s="178"/>
      <c r="G864" s="178"/>
    </row>
    <row r="865" spans="1:7" ht="12.75">
      <c r="A865" s="178"/>
      <c r="B865" s="178"/>
      <c r="C865" s="178"/>
      <c r="D865" s="178"/>
      <c r="E865" s="178"/>
      <c r="F865" s="178"/>
      <c r="G865" s="178"/>
    </row>
    <row r="866" spans="1:7" ht="12.75">
      <c r="A866" s="178"/>
      <c r="B866" s="178"/>
      <c r="C866" s="178"/>
      <c r="D866" s="178"/>
      <c r="E866" s="178"/>
      <c r="F866" s="178"/>
      <c r="G866" s="178"/>
    </row>
    <row r="867" spans="1:7" ht="12.75">
      <c r="A867" s="178"/>
      <c r="B867" s="178"/>
      <c r="C867" s="178"/>
      <c r="D867" s="178"/>
      <c r="E867" s="178"/>
      <c r="F867" s="178"/>
      <c r="G867" s="178"/>
    </row>
    <row r="868" spans="1:7" ht="12.75">
      <c r="A868" s="178"/>
      <c r="B868" s="178"/>
      <c r="C868" s="178"/>
      <c r="D868" s="178"/>
      <c r="E868" s="178"/>
      <c r="F868" s="178"/>
      <c r="G868" s="178"/>
    </row>
    <row r="869" spans="1:7" ht="12.75">
      <c r="A869" s="178"/>
      <c r="B869" s="178"/>
      <c r="C869" s="178"/>
      <c r="D869" s="178"/>
      <c r="E869" s="178"/>
      <c r="F869" s="178"/>
      <c r="G869" s="178"/>
    </row>
    <row r="870" spans="1:7" ht="12.75">
      <c r="A870" s="178"/>
      <c r="B870" s="178"/>
      <c r="C870" s="178"/>
      <c r="D870" s="178"/>
      <c r="E870" s="178"/>
      <c r="F870" s="178"/>
      <c r="G870" s="178"/>
    </row>
    <row r="871" spans="1:7" ht="12.75">
      <c r="A871" s="178"/>
      <c r="B871" s="178"/>
      <c r="C871" s="178"/>
      <c r="D871" s="178"/>
      <c r="E871" s="178"/>
      <c r="F871" s="178"/>
      <c r="G871" s="178"/>
    </row>
    <row r="872" spans="1:7" ht="12.75">
      <c r="A872" s="178"/>
      <c r="B872" s="178"/>
      <c r="C872" s="178"/>
      <c r="D872" s="178"/>
      <c r="E872" s="178"/>
      <c r="F872" s="178"/>
      <c r="G872" s="178"/>
    </row>
    <row r="873" spans="1:7" ht="12.75">
      <c r="A873" s="178"/>
      <c r="B873" s="178"/>
      <c r="C873" s="178"/>
      <c r="D873" s="178"/>
      <c r="E873" s="178"/>
      <c r="F873" s="178"/>
      <c r="G873" s="178"/>
    </row>
    <row r="874" spans="1:7" ht="12.75">
      <c r="A874" s="178"/>
      <c r="B874" s="178"/>
      <c r="C874" s="178"/>
      <c r="D874" s="178"/>
      <c r="E874" s="178"/>
      <c r="F874" s="178"/>
      <c r="G874" s="178"/>
    </row>
    <row r="875" spans="1:7" ht="12.75">
      <c r="A875" s="178"/>
      <c r="B875" s="178"/>
      <c r="C875" s="178"/>
      <c r="D875" s="178"/>
      <c r="E875" s="178"/>
      <c r="F875" s="178"/>
      <c r="G875" s="178"/>
    </row>
    <row r="876" spans="1:7" ht="12.75">
      <c r="A876" s="178"/>
      <c r="B876" s="178"/>
      <c r="C876" s="178"/>
      <c r="D876" s="178"/>
      <c r="E876" s="178"/>
      <c r="F876" s="178"/>
      <c r="G876" s="178"/>
    </row>
    <row r="877" spans="1:7" ht="12.75">
      <c r="A877" s="178"/>
      <c r="B877" s="178"/>
      <c r="C877" s="178"/>
      <c r="D877" s="178"/>
      <c r="E877" s="178"/>
      <c r="F877" s="178"/>
      <c r="G877" s="178"/>
    </row>
    <row r="878" spans="1:7" ht="12.75">
      <c r="A878" s="178"/>
      <c r="B878" s="178"/>
      <c r="C878" s="178"/>
      <c r="D878" s="178"/>
      <c r="E878" s="178"/>
      <c r="F878" s="178"/>
      <c r="G878" s="178"/>
    </row>
    <row r="879" spans="1:7" ht="12.75">
      <c r="A879" s="178"/>
      <c r="B879" s="178"/>
      <c r="C879" s="178"/>
      <c r="D879" s="178"/>
      <c r="E879" s="178"/>
      <c r="F879" s="178"/>
      <c r="G879" s="178"/>
    </row>
    <row r="880" spans="1:7" ht="12.75">
      <c r="A880" s="178"/>
      <c r="B880" s="178"/>
      <c r="C880" s="178"/>
      <c r="D880" s="178"/>
      <c r="E880" s="178"/>
      <c r="F880" s="178"/>
      <c r="G880" s="178"/>
    </row>
    <row r="881" spans="1:7" ht="12.75">
      <c r="A881" s="178"/>
      <c r="B881" s="178"/>
      <c r="C881" s="178"/>
      <c r="D881" s="178"/>
      <c r="E881" s="178"/>
      <c r="F881" s="178"/>
      <c r="G881" s="178"/>
    </row>
    <row r="882" spans="1:7" ht="12.75">
      <c r="A882" s="178"/>
      <c r="B882" s="178"/>
      <c r="C882" s="178"/>
      <c r="D882" s="178"/>
      <c r="E882" s="178"/>
      <c r="F882" s="178"/>
      <c r="G882" s="178"/>
    </row>
    <row r="883" spans="1:7" ht="12.75">
      <c r="A883" s="178"/>
      <c r="B883" s="178"/>
      <c r="C883" s="178"/>
      <c r="D883" s="178"/>
      <c r="E883" s="178"/>
      <c r="F883" s="178"/>
      <c r="G883" s="178"/>
    </row>
    <row r="884" spans="1:7" ht="12.75">
      <c r="A884" s="178"/>
      <c r="B884" s="178"/>
      <c r="C884" s="178"/>
      <c r="D884" s="178"/>
      <c r="E884" s="178"/>
      <c r="F884" s="178"/>
      <c r="G884" s="178"/>
    </row>
    <row r="885" spans="1:7" ht="12.75">
      <c r="A885" s="178"/>
      <c r="B885" s="178"/>
      <c r="C885" s="178"/>
      <c r="D885" s="178"/>
      <c r="E885" s="178"/>
      <c r="F885" s="178"/>
      <c r="G885" s="178"/>
    </row>
    <row r="886" spans="1:7" ht="12.75">
      <c r="A886" s="178"/>
      <c r="B886" s="178"/>
      <c r="C886" s="178"/>
      <c r="D886" s="178"/>
      <c r="E886" s="178"/>
      <c r="F886" s="178"/>
      <c r="G886" s="178"/>
    </row>
    <row r="887" spans="1:7" ht="12.75">
      <c r="A887" s="178"/>
      <c r="B887" s="178"/>
      <c r="C887" s="178"/>
      <c r="D887" s="178"/>
      <c r="E887" s="178"/>
      <c r="F887" s="178"/>
      <c r="G887" s="178"/>
    </row>
    <row r="888" spans="1:7" ht="12.75">
      <c r="A888" s="178"/>
      <c r="B888" s="178"/>
      <c r="C888" s="178"/>
      <c r="D888" s="178"/>
      <c r="E888" s="178"/>
      <c r="F888" s="178"/>
      <c r="G888" s="178"/>
    </row>
    <row r="889" spans="1:7" ht="12.75">
      <c r="A889" s="178"/>
      <c r="B889" s="178"/>
      <c r="C889" s="178"/>
      <c r="D889" s="178"/>
      <c r="E889" s="178"/>
      <c r="F889" s="178"/>
      <c r="G889" s="178"/>
    </row>
    <row r="890" spans="1:7" ht="12.75">
      <c r="A890" s="178"/>
      <c r="B890" s="178"/>
      <c r="C890" s="178"/>
      <c r="D890" s="178"/>
      <c r="E890" s="178"/>
      <c r="F890" s="178"/>
      <c r="G890" s="178"/>
    </row>
    <row r="891" spans="1:7" ht="12.75">
      <c r="A891" s="178"/>
      <c r="B891" s="178"/>
      <c r="C891" s="178"/>
      <c r="D891" s="178"/>
      <c r="E891" s="178"/>
      <c r="F891" s="178"/>
      <c r="G891" s="178"/>
    </row>
    <row r="892" spans="1:7" ht="12.75">
      <c r="A892" s="178"/>
      <c r="B892" s="178"/>
      <c r="C892" s="178"/>
      <c r="D892" s="178"/>
      <c r="E892" s="178"/>
      <c r="F892" s="178"/>
      <c r="G892" s="178"/>
    </row>
    <row r="893" spans="1:7" ht="12.75">
      <c r="A893" s="178"/>
      <c r="B893" s="178"/>
      <c r="C893" s="178"/>
      <c r="D893" s="178"/>
      <c r="E893" s="178"/>
      <c r="F893" s="178"/>
      <c r="G893" s="178"/>
    </row>
    <row r="894" spans="1:7" ht="12.75">
      <c r="A894" s="178"/>
      <c r="B894" s="178"/>
      <c r="C894" s="178"/>
      <c r="D894" s="178"/>
      <c r="E894" s="178"/>
      <c r="F894" s="178"/>
      <c r="G894" s="178"/>
    </row>
    <row r="895" spans="1:7" ht="12.75">
      <c r="A895" s="178"/>
      <c r="B895" s="178"/>
      <c r="C895" s="178"/>
      <c r="D895" s="178"/>
      <c r="E895" s="178"/>
      <c r="F895" s="178"/>
      <c r="G895" s="178"/>
    </row>
    <row r="896" spans="1:7" ht="12.75">
      <c r="A896" s="178"/>
      <c r="B896" s="178"/>
      <c r="C896" s="178"/>
      <c r="D896" s="178"/>
      <c r="E896" s="178"/>
      <c r="F896" s="178"/>
      <c r="G896" s="178"/>
    </row>
    <row r="897" spans="1:7" ht="12.75">
      <c r="A897" s="178"/>
      <c r="B897" s="178"/>
      <c r="C897" s="178"/>
      <c r="D897" s="178"/>
      <c r="E897" s="178"/>
      <c r="F897" s="178"/>
      <c r="G897" s="178"/>
    </row>
    <row r="898" spans="1:7" ht="12.75">
      <c r="A898" s="178"/>
      <c r="B898" s="178"/>
      <c r="C898" s="178"/>
      <c r="D898" s="178"/>
      <c r="E898" s="178"/>
      <c r="F898" s="178"/>
      <c r="G898" s="178"/>
    </row>
    <row r="899" spans="1:7" ht="12.75">
      <c r="A899" s="178"/>
      <c r="B899" s="178"/>
      <c r="C899" s="178"/>
      <c r="D899" s="178"/>
      <c r="E899" s="178"/>
      <c r="F899" s="178"/>
      <c r="G899" s="178"/>
    </row>
    <row r="900" spans="1:7" ht="12.75">
      <c r="A900" s="178"/>
      <c r="B900" s="178"/>
      <c r="C900" s="178"/>
      <c r="D900" s="178"/>
      <c r="E900" s="178"/>
      <c r="F900" s="178"/>
      <c r="G900" s="178"/>
    </row>
    <row r="901" spans="1:7" ht="12.75">
      <c r="A901" s="178"/>
      <c r="B901" s="178"/>
      <c r="C901" s="178"/>
      <c r="D901" s="178"/>
      <c r="E901" s="178"/>
      <c r="F901" s="178"/>
      <c r="G901" s="178"/>
    </row>
    <row r="902" spans="1:7" ht="12.75">
      <c r="A902" s="178"/>
      <c r="B902" s="178"/>
      <c r="C902" s="178"/>
      <c r="D902" s="178"/>
      <c r="E902" s="178"/>
      <c r="F902" s="178"/>
      <c r="G902" s="178"/>
    </row>
    <row r="903" spans="1:7" ht="12.75">
      <c r="A903" s="178"/>
      <c r="B903" s="178"/>
      <c r="C903" s="178"/>
      <c r="D903" s="178"/>
      <c r="E903" s="178"/>
      <c r="F903" s="178"/>
      <c r="G903" s="178"/>
    </row>
    <row r="904" spans="1:7" ht="12.75">
      <c r="A904" s="178"/>
      <c r="B904" s="178"/>
      <c r="C904" s="178"/>
      <c r="D904" s="178"/>
      <c r="E904" s="178"/>
      <c r="F904" s="178"/>
      <c r="G904" s="178"/>
    </row>
    <row r="905" spans="1:7" ht="12.75">
      <c r="A905" s="178"/>
      <c r="B905" s="178"/>
      <c r="C905" s="178"/>
      <c r="D905" s="178"/>
      <c r="E905" s="178"/>
      <c r="F905" s="178"/>
      <c r="G905" s="178"/>
    </row>
    <row r="906" spans="1:7" ht="12.75">
      <c r="A906" s="178"/>
      <c r="B906" s="178"/>
      <c r="C906" s="178"/>
      <c r="D906" s="178"/>
      <c r="E906" s="178"/>
      <c r="F906" s="178"/>
      <c r="G906" s="178"/>
    </row>
    <row r="907" spans="1:7" ht="12.75">
      <c r="A907" s="178"/>
      <c r="B907" s="178"/>
      <c r="C907" s="178"/>
      <c r="D907" s="178"/>
      <c r="E907" s="178"/>
      <c r="F907" s="178"/>
      <c r="G907" s="178"/>
    </row>
    <row r="908" spans="1:7" ht="12.75">
      <c r="A908" s="178"/>
      <c r="B908" s="178"/>
      <c r="C908" s="178"/>
      <c r="D908" s="178"/>
      <c r="E908" s="178"/>
      <c r="F908" s="178"/>
      <c r="G908" s="178"/>
    </row>
    <row r="909" spans="1:7" ht="12.75">
      <c r="A909" s="178"/>
      <c r="B909" s="178"/>
      <c r="C909" s="178"/>
      <c r="D909" s="178"/>
      <c r="E909" s="178"/>
      <c r="F909" s="178"/>
      <c r="G909" s="178"/>
    </row>
    <row r="910" spans="1:7" ht="12.75">
      <c r="A910" s="178"/>
      <c r="B910" s="178"/>
      <c r="C910" s="178"/>
      <c r="D910" s="178"/>
      <c r="E910" s="178"/>
      <c r="F910" s="178"/>
      <c r="G910" s="178"/>
    </row>
    <row r="911" spans="1:7" ht="12.75">
      <c r="A911" s="178"/>
      <c r="B911" s="178"/>
      <c r="C911" s="178"/>
      <c r="D911" s="178"/>
      <c r="E911" s="178"/>
      <c r="F911" s="178"/>
      <c r="G911" s="178"/>
    </row>
    <row r="912" spans="1:7" ht="12.75">
      <c r="A912" s="178"/>
      <c r="B912" s="178"/>
      <c r="C912" s="178"/>
      <c r="D912" s="178"/>
      <c r="E912" s="178"/>
      <c r="F912" s="178"/>
      <c r="G912" s="178"/>
    </row>
    <row r="913" spans="1:7" ht="12.75">
      <c r="A913" s="178"/>
      <c r="B913" s="178"/>
      <c r="C913" s="178"/>
      <c r="D913" s="178"/>
      <c r="E913" s="178"/>
      <c r="F913" s="178"/>
      <c r="G913" s="178"/>
    </row>
    <row r="914" spans="1:7" ht="12.75">
      <c r="A914" s="178"/>
      <c r="B914" s="178"/>
      <c r="C914" s="178"/>
      <c r="D914" s="178"/>
      <c r="E914" s="178"/>
      <c r="F914" s="178"/>
      <c r="G914" s="178"/>
    </row>
    <row r="915" spans="1:7" ht="12.75">
      <c r="A915" s="178"/>
      <c r="B915" s="178"/>
      <c r="C915" s="178"/>
      <c r="D915" s="178"/>
      <c r="E915" s="178"/>
      <c r="F915" s="178"/>
      <c r="G915" s="178"/>
    </row>
    <row r="916" spans="1:7" ht="12.75">
      <c r="A916" s="178"/>
      <c r="B916" s="178"/>
      <c r="C916" s="178"/>
      <c r="D916" s="178"/>
      <c r="E916" s="178"/>
      <c r="F916" s="178"/>
      <c r="G916" s="178"/>
    </row>
    <row r="917" spans="1:7" ht="12.75">
      <c r="A917" s="178"/>
      <c r="B917" s="178"/>
      <c r="C917" s="178"/>
      <c r="D917" s="178"/>
      <c r="E917" s="178"/>
      <c r="F917" s="178"/>
      <c r="G917" s="178"/>
    </row>
    <row r="918" spans="1:7" ht="12.75">
      <c r="A918" s="178"/>
      <c r="B918" s="178"/>
      <c r="C918" s="178"/>
      <c r="D918" s="178"/>
      <c r="E918" s="178"/>
      <c r="F918" s="178"/>
      <c r="G918" s="178"/>
    </row>
    <row r="919" spans="1:7" ht="12.75">
      <c r="A919" s="178"/>
      <c r="B919" s="178"/>
      <c r="C919" s="178"/>
      <c r="D919" s="178"/>
      <c r="E919" s="178"/>
      <c r="F919" s="178"/>
      <c r="G919" s="178"/>
    </row>
    <row r="920" spans="1:7" ht="12.75">
      <c r="A920" s="178"/>
      <c r="B920" s="178"/>
      <c r="C920" s="178"/>
      <c r="D920" s="178"/>
      <c r="E920" s="178"/>
      <c r="F920" s="178"/>
      <c r="G920" s="178"/>
    </row>
    <row r="921" spans="1:7" ht="12.75">
      <c r="A921" s="178"/>
      <c r="B921" s="178"/>
      <c r="C921" s="178"/>
      <c r="D921" s="178"/>
      <c r="E921" s="178"/>
      <c r="F921" s="178"/>
      <c r="G921" s="178"/>
    </row>
    <row r="922" spans="1:7" ht="12.75">
      <c r="A922" s="178"/>
      <c r="B922" s="178"/>
      <c r="C922" s="178"/>
      <c r="D922" s="178"/>
      <c r="E922" s="178"/>
      <c r="F922" s="178"/>
      <c r="G922" s="178"/>
    </row>
    <row r="923" spans="1:7" ht="12.75">
      <c r="A923" s="178"/>
      <c r="B923" s="178"/>
      <c r="C923" s="178"/>
      <c r="D923" s="178"/>
      <c r="E923" s="178"/>
      <c r="F923" s="178"/>
      <c r="G923" s="178"/>
    </row>
    <row r="924" spans="1:7" ht="12.75">
      <c r="A924" s="178"/>
      <c r="B924" s="178"/>
      <c r="C924" s="178"/>
      <c r="D924" s="178"/>
      <c r="E924" s="178"/>
      <c r="F924" s="178"/>
      <c r="G924" s="178"/>
    </row>
    <row r="925" spans="1:7" ht="12.75">
      <c r="A925" s="178"/>
      <c r="B925" s="178"/>
      <c r="C925" s="178"/>
      <c r="D925" s="178"/>
      <c r="E925" s="178"/>
      <c r="F925" s="178"/>
      <c r="G925" s="178"/>
    </row>
    <row r="926" spans="1:7" ht="12.75">
      <c r="A926" s="178"/>
      <c r="B926" s="178"/>
      <c r="C926" s="178"/>
      <c r="D926" s="178"/>
      <c r="E926" s="178"/>
      <c r="F926" s="178"/>
      <c r="G926" s="178"/>
    </row>
    <row r="927" spans="1:7" ht="12.75">
      <c r="A927" s="178"/>
      <c r="B927" s="178"/>
      <c r="C927" s="178"/>
      <c r="D927" s="178"/>
      <c r="E927" s="178"/>
      <c r="F927" s="178"/>
      <c r="G927" s="178"/>
    </row>
    <row r="928" spans="1:7" ht="12.75">
      <c r="A928" s="178"/>
      <c r="B928" s="178"/>
      <c r="C928" s="178"/>
      <c r="D928" s="178"/>
      <c r="E928" s="178"/>
      <c r="F928" s="178"/>
      <c r="G928" s="178"/>
    </row>
    <row r="929" spans="1:7" ht="12.75">
      <c r="A929" s="178"/>
      <c r="B929" s="178"/>
      <c r="C929" s="178"/>
      <c r="D929" s="178"/>
      <c r="E929" s="178"/>
      <c r="F929" s="178"/>
      <c r="G929" s="178"/>
    </row>
    <row r="930" spans="1:7" ht="12.75">
      <c r="A930" s="178"/>
      <c r="B930" s="178"/>
      <c r="C930" s="178"/>
      <c r="D930" s="178"/>
      <c r="E930" s="178"/>
      <c r="F930" s="178"/>
      <c r="G930" s="178"/>
    </row>
    <row r="931" spans="1:7" ht="12.75">
      <c r="A931" s="178"/>
      <c r="B931" s="178"/>
      <c r="C931" s="178"/>
      <c r="D931" s="178"/>
      <c r="E931" s="178"/>
      <c r="F931" s="178"/>
      <c r="G931" s="178"/>
    </row>
    <row r="932" spans="1:7" ht="12.75">
      <c r="A932" s="178"/>
      <c r="B932" s="178"/>
      <c r="C932" s="178"/>
      <c r="D932" s="178"/>
      <c r="E932" s="178"/>
      <c r="F932" s="178"/>
      <c r="G932" s="178"/>
    </row>
    <row r="933" spans="1:7" ht="12.75">
      <c r="A933" s="178"/>
      <c r="B933" s="178"/>
      <c r="C933" s="178"/>
      <c r="D933" s="178"/>
      <c r="E933" s="178"/>
      <c r="F933" s="178"/>
      <c r="G933" s="178"/>
    </row>
    <row r="934" spans="1:7" ht="12.75">
      <c r="A934" s="178"/>
      <c r="B934" s="178"/>
      <c r="C934" s="178"/>
      <c r="D934" s="178"/>
      <c r="E934" s="178"/>
      <c r="F934" s="178"/>
      <c r="G934" s="178"/>
    </row>
    <row r="935" spans="1:7" ht="12.75">
      <c r="A935" s="178"/>
      <c r="B935" s="178"/>
      <c r="C935" s="178"/>
      <c r="D935" s="178"/>
      <c r="E935" s="178"/>
      <c r="F935" s="178"/>
      <c r="G935" s="178"/>
    </row>
    <row r="936" spans="1:7" ht="12.75">
      <c r="A936" s="178"/>
      <c r="B936" s="178"/>
      <c r="C936" s="178"/>
      <c r="D936" s="178"/>
      <c r="E936" s="178"/>
      <c r="F936" s="178"/>
      <c r="G936" s="178"/>
    </row>
    <row r="937" spans="1:7" ht="12.75">
      <c r="A937" s="178"/>
      <c r="B937" s="178"/>
      <c r="C937" s="178"/>
      <c r="D937" s="178"/>
      <c r="E937" s="178"/>
      <c r="F937" s="178"/>
      <c r="G937" s="178"/>
    </row>
    <row r="938" spans="1:7" ht="12.75">
      <c r="A938" s="178"/>
      <c r="B938" s="178"/>
      <c r="C938" s="178"/>
      <c r="D938" s="178"/>
      <c r="E938" s="178"/>
      <c r="F938" s="178"/>
      <c r="G938" s="178"/>
    </row>
    <row r="939" spans="1:7" ht="12.75">
      <c r="A939" s="178"/>
      <c r="B939" s="178"/>
      <c r="C939" s="178"/>
      <c r="D939" s="178"/>
      <c r="E939" s="178"/>
      <c r="F939" s="178"/>
      <c r="G939" s="178"/>
    </row>
    <row r="940" spans="1:7" ht="12.75">
      <c r="A940" s="178"/>
      <c r="B940" s="178"/>
      <c r="C940" s="178"/>
      <c r="D940" s="178"/>
      <c r="E940" s="178"/>
      <c r="F940" s="178"/>
      <c r="G940" s="178"/>
    </row>
    <row r="941" spans="1:7" ht="12.75">
      <c r="A941" s="178"/>
      <c r="B941" s="178"/>
      <c r="C941" s="178"/>
      <c r="D941" s="178"/>
      <c r="E941" s="178"/>
      <c r="F941" s="178"/>
      <c r="G941" s="178"/>
    </row>
    <row r="942" spans="1:7" ht="12.75">
      <c r="A942" s="178"/>
      <c r="B942" s="178"/>
      <c r="C942" s="178"/>
      <c r="D942" s="178"/>
      <c r="E942" s="178"/>
      <c r="F942" s="178"/>
      <c r="G942" s="178"/>
    </row>
    <row r="943" spans="1:7" ht="12.75">
      <c r="A943" s="178"/>
      <c r="B943" s="178"/>
      <c r="C943" s="178"/>
      <c r="D943" s="178"/>
      <c r="E943" s="178"/>
      <c r="F943" s="178"/>
      <c r="G943" s="178"/>
    </row>
    <row r="944" spans="1:7" ht="12.75">
      <c r="A944" s="178"/>
      <c r="B944" s="178"/>
      <c r="C944" s="178"/>
      <c r="D944" s="178"/>
      <c r="E944" s="178"/>
      <c r="F944" s="178"/>
      <c r="G944" s="178"/>
    </row>
    <row r="945" spans="1:7" ht="12.75">
      <c r="A945" s="178"/>
      <c r="B945" s="178"/>
      <c r="C945" s="178"/>
      <c r="D945" s="178"/>
      <c r="E945" s="178"/>
      <c r="F945" s="178"/>
      <c r="G945" s="178"/>
    </row>
    <row r="946" spans="1:7" ht="12.75">
      <c r="A946" s="178"/>
      <c r="B946" s="178"/>
      <c r="C946" s="178"/>
      <c r="D946" s="178"/>
      <c r="E946" s="178"/>
      <c r="F946" s="178"/>
      <c r="G946" s="178"/>
    </row>
    <row r="947" spans="1:7" ht="12.75">
      <c r="A947" s="178"/>
      <c r="B947" s="178"/>
      <c r="C947" s="178"/>
      <c r="D947" s="178"/>
      <c r="E947" s="178"/>
      <c r="F947" s="178"/>
      <c r="G947" s="178"/>
    </row>
    <row r="948" spans="1:7" ht="12.75">
      <c r="A948" s="178"/>
      <c r="B948" s="178"/>
      <c r="C948" s="178"/>
      <c r="D948" s="178"/>
      <c r="E948" s="178"/>
      <c r="F948" s="178"/>
      <c r="G948" s="178"/>
    </row>
    <row r="949" spans="1:7" ht="12.75">
      <c r="A949" s="178"/>
      <c r="B949" s="178"/>
      <c r="C949" s="178"/>
      <c r="D949" s="178"/>
      <c r="E949" s="178"/>
      <c r="F949" s="178"/>
      <c r="G949" s="178"/>
    </row>
    <row r="950" spans="1:7" ht="12.75">
      <c r="A950" s="178"/>
      <c r="B950" s="178"/>
      <c r="C950" s="178"/>
      <c r="D950" s="178"/>
      <c r="E950" s="178"/>
      <c r="F950" s="178"/>
      <c r="G950" s="178"/>
    </row>
    <row r="951" spans="1:7" ht="12.75">
      <c r="A951" s="178"/>
      <c r="B951" s="178"/>
      <c r="C951" s="178"/>
      <c r="D951" s="178"/>
      <c r="E951" s="178"/>
      <c r="F951" s="178"/>
      <c r="G951" s="178"/>
    </row>
    <row r="952" spans="1:7" ht="12.75">
      <c r="A952" s="178"/>
      <c r="B952" s="178"/>
      <c r="C952" s="178"/>
      <c r="D952" s="178"/>
      <c r="E952" s="178"/>
      <c r="F952" s="178"/>
      <c r="G952" s="178"/>
    </row>
    <row r="953" spans="1:7" ht="12.75">
      <c r="A953" s="178"/>
      <c r="B953" s="178"/>
      <c r="C953" s="178"/>
      <c r="D953" s="178"/>
      <c r="E953" s="178"/>
      <c r="F953" s="178"/>
      <c r="G953" s="178"/>
    </row>
    <row r="954" spans="1:7" ht="12.75">
      <c r="A954" s="178"/>
      <c r="B954" s="178"/>
      <c r="C954" s="178"/>
      <c r="D954" s="178"/>
      <c r="E954" s="178"/>
      <c r="F954" s="178"/>
      <c r="G954" s="178"/>
    </row>
    <row r="955" spans="1:7" ht="12.75">
      <c r="A955" s="178"/>
      <c r="B955" s="178"/>
      <c r="C955" s="178"/>
      <c r="D955" s="178"/>
      <c r="E955" s="178"/>
      <c r="F955" s="178"/>
      <c r="G955" s="178"/>
    </row>
    <row r="956" spans="1:7" ht="12.75">
      <c r="A956" s="178"/>
      <c r="B956" s="178"/>
      <c r="C956" s="178"/>
      <c r="D956" s="178"/>
      <c r="E956" s="178"/>
      <c r="F956" s="178"/>
      <c r="G956" s="178"/>
    </row>
    <row r="957" spans="1:7" ht="12.75">
      <c r="A957" s="178"/>
      <c r="B957" s="178"/>
      <c r="C957" s="178"/>
      <c r="D957" s="178"/>
      <c r="E957" s="178"/>
      <c r="F957" s="178"/>
      <c r="G957" s="178"/>
    </row>
    <row r="958" spans="1:7" ht="12.75">
      <c r="A958" s="178"/>
      <c r="B958" s="178"/>
      <c r="C958" s="178"/>
      <c r="D958" s="178"/>
      <c r="E958" s="178"/>
      <c r="F958" s="178"/>
      <c r="G958" s="178"/>
    </row>
    <row r="959" spans="1:7" ht="12.75">
      <c r="A959" s="178"/>
      <c r="B959" s="178"/>
      <c r="C959" s="178"/>
      <c r="D959" s="178"/>
      <c r="E959" s="178"/>
      <c r="F959" s="178"/>
      <c r="G959" s="178"/>
    </row>
    <row r="960" spans="1:7" ht="12.75">
      <c r="A960" s="178"/>
      <c r="B960" s="178"/>
      <c r="C960" s="178"/>
      <c r="D960" s="178"/>
      <c r="E960" s="178"/>
      <c r="F960" s="178"/>
      <c r="G960" s="178"/>
    </row>
    <row r="961" spans="1:7" ht="12.75">
      <c r="A961" s="178"/>
      <c r="B961" s="178"/>
      <c r="C961" s="178"/>
      <c r="D961" s="178"/>
      <c r="E961" s="178"/>
      <c r="F961" s="178"/>
      <c r="G961" s="178"/>
    </row>
    <row r="962" spans="1:7" ht="12.75">
      <c r="A962" s="178"/>
      <c r="B962" s="178"/>
      <c r="C962" s="178"/>
      <c r="D962" s="178"/>
      <c r="E962" s="178"/>
      <c r="F962" s="178"/>
      <c r="G962" s="178"/>
    </row>
    <row r="963" spans="1:7" ht="12.75">
      <c r="A963" s="178"/>
      <c r="B963" s="178"/>
      <c r="C963" s="178"/>
      <c r="D963" s="178"/>
      <c r="E963" s="178"/>
      <c r="F963" s="178"/>
      <c r="G963" s="178"/>
    </row>
    <row r="964" spans="1:7" ht="12.75">
      <c r="A964" s="178"/>
      <c r="B964" s="178"/>
      <c r="C964" s="178"/>
      <c r="D964" s="178"/>
      <c r="E964" s="178"/>
      <c r="F964" s="178"/>
      <c r="G964" s="178"/>
    </row>
    <row r="965" spans="1:7" ht="12.75">
      <c r="A965" s="178"/>
      <c r="B965" s="178"/>
      <c r="C965" s="178"/>
      <c r="D965" s="178"/>
      <c r="E965" s="178"/>
      <c r="F965" s="178"/>
      <c r="G965" s="178"/>
    </row>
    <row r="966" spans="1:7" ht="12.75">
      <c r="A966" s="178"/>
      <c r="B966" s="178"/>
      <c r="C966" s="178"/>
      <c r="D966" s="178"/>
      <c r="E966" s="178"/>
      <c r="F966" s="178"/>
      <c r="G966" s="178"/>
    </row>
    <row r="967" spans="1:7" ht="12.75">
      <c r="A967" s="178"/>
      <c r="B967" s="178"/>
      <c r="C967" s="178"/>
      <c r="D967" s="178"/>
      <c r="E967" s="178"/>
      <c r="F967" s="178"/>
      <c r="G967" s="178"/>
    </row>
    <row r="968" spans="1:7" ht="12.75">
      <c r="A968" s="178"/>
      <c r="B968" s="178"/>
      <c r="C968" s="178"/>
      <c r="D968" s="178"/>
      <c r="E968" s="178"/>
      <c r="F968" s="178"/>
      <c r="G968" s="178"/>
    </row>
    <row r="969" spans="1:7" ht="12.75">
      <c r="A969" s="178"/>
      <c r="B969" s="178"/>
      <c r="C969" s="178"/>
      <c r="D969" s="178"/>
      <c r="E969" s="178"/>
      <c r="F969" s="178"/>
      <c r="G969" s="178"/>
    </row>
    <row r="970" spans="1:7" ht="12.75">
      <c r="A970" s="178"/>
      <c r="B970" s="178"/>
      <c r="C970" s="178"/>
      <c r="D970" s="178"/>
      <c r="E970" s="178"/>
      <c r="F970" s="178"/>
      <c r="G970" s="178"/>
    </row>
    <row r="971" spans="1:7" ht="12.75">
      <c r="A971" s="178"/>
      <c r="B971" s="178"/>
      <c r="C971" s="178"/>
      <c r="D971" s="178"/>
      <c r="E971" s="178"/>
      <c r="F971" s="178"/>
      <c r="G971" s="178"/>
    </row>
    <row r="972" spans="1:7" ht="12.75">
      <c r="A972" s="178"/>
      <c r="B972" s="178"/>
      <c r="C972" s="178"/>
      <c r="D972" s="178"/>
      <c r="E972" s="178"/>
      <c r="F972" s="178"/>
      <c r="G972" s="178"/>
    </row>
    <row r="973" spans="1:7" ht="12.75">
      <c r="A973" s="178"/>
      <c r="B973" s="178"/>
      <c r="C973" s="178"/>
      <c r="D973" s="178"/>
      <c r="E973" s="178"/>
      <c r="F973" s="178"/>
      <c r="G973" s="178"/>
    </row>
    <row r="974" spans="1:7" ht="12.75">
      <c r="A974" s="178"/>
      <c r="B974" s="178"/>
      <c r="C974" s="178"/>
      <c r="D974" s="178"/>
      <c r="E974" s="178"/>
      <c r="F974" s="178"/>
      <c r="G974" s="178"/>
    </row>
    <row r="975" spans="1:7" ht="12.75">
      <c r="A975" s="178"/>
      <c r="B975" s="178"/>
      <c r="C975" s="178"/>
      <c r="D975" s="178"/>
      <c r="E975" s="178"/>
      <c r="F975" s="178"/>
      <c r="G975" s="178"/>
    </row>
    <row r="976" spans="1:7" ht="12.75">
      <c r="A976" s="178"/>
      <c r="B976" s="178"/>
      <c r="C976" s="178"/>
      <c r="D976" s="178"/>
      <c r="E976" s="178"/>
      <c r="F976" s="178"/>
      <c r="G976" s="178"/>
    </row>
    <row r="977" spans="1:7" ht="12.75">
      <c r="A977" s="178"/>
      <c r="B977" s="178"/>
      <c r="C977" s="178"/>
      <c r="D977" s="178"/>
      <c r="E977" s="178"/>
      <c r="F977" s="178"/>
      <c r="G977" s="178"/>
    </row>
    <row r="978" spans="1:7" ht="12.75">
      <c r="A978" s="178"/>
      <c r="B978" s="178"/>
      <c r="C978" s="178"/>
      <c r="D978" s="178"/>
      <c r="E978" s="178"/>
      <c r="F978" s="178"/>
      <c r="G978" s="178"/>
    </row>
    <row r="979" spans="1:7" ht="12.75">
      <c r="A979" s="178"/>
      <c r="B979" s="178"/>
      <c r="C979" s="178"/>
      <c r="D979" s="178"/>
      <c r="E979" s="178"/>
      <c r="F979" s="178"/>
      <c r="G979" s="178"/>
    </row>
    <row r="980" spans="1:7" ht="12.75">
      <c r="A980" s="178"/>
      <c r="B980" s="178"/>
      <c r="C980" s="178"/>
      <c r="D980" s="178"/>
      <c r="E980" s="178"/>
      <c r="F980" s="178"/>
      <c r="G980" s="178"/>
    </row>
    <row r="981" spans="1:7" ht="12.75">
      <c r="A981" s="178"/>
      <c r="B981" s="178"/>
      <c r="C981" s="178"/>
      <c r="D981" s="178"/>
      <c r="E981" s="178"/>
      <c r="F981" s="178"/>
      <c r="G981" s="178"/>
    </row>
    <row r="982" spans="1:7" ht="12.75">
      <c r="A982" s="178"/>
      <c r="B982" s="178"/>
      <c r="C982" s="178"/>
      <c r="D982" s="178"/>
      <c r="E982" s="178"/>
      <c r="F982" s="178"/>
      <c r="G982" s="178"/>
    </row>
    <row r="983" spans="1:7" ht="12.75">
      <c r="A983" s="178"/>
      <c r="B983" s="178"/>
      <c r="C983" s="178"/>
      <c r="D983" s="178"/>
      <c r="E983" s="178"/>
      <c r="F983" s="178"/>
      <c r="G983" s="178"/>
    </row>
    <row r="984" spans="1:7" ht="12.75">
      <c r="A984" s="178"/>
      <c r="B984" s="178"/>
      <c r="C984" s="178"/>
      <c r="D984" s="178"/>
      <c r="E984" s="178"/>
      <c r="F984" s="178"/>
      <c r="G984" s="178"/>
    </row>
    <row r="985" spans="1:7" ht="12.75">
      <c r="A985" s="178"/>
      <c r="B985" s="178"/>
      <c r="C985" s="178"/>
      <c r="D985" s="178"/>
      <c r="E985" s="178"/>
      <c r="F985" s="178"/>
      <c r="G985" s="178"/>
    </row>
  </sheetData>
  <mergeCells count="40">
    <mergeCell ref="A61:A62"/>
    <mergeCell ref="A63:A66"/>
    <mergeCell ref="I43:I46"/>
    <mergeCell ref="I47:J47"/>
    <mergeCell ref="A51:A56"/>
    <mergeCell ref="I51:I56"/>
    <mergeCell ref="A57:A60"/>
    <mergeCell ref="I57:I60"/>
    <mergeCell ref="I61:I62"/>
    <mergeCell ref="I25:J25"/>
    <mergeCell ref="H2:J2"/>
    <mergeCell ref="H5:J5"/>
    <mergeCell ref="A6:A13"/>
    <mergeCell ref="D6:D13"/>
    <mergeCell ref="H6:H27"/>
    <mergeCell ref="A14:A18"/>
    <mergeCell ref="D14:D20"/>
    <mergeCell ref="I6:I13"/>
    <mergeCell ref="I14:I18"/>
    <mergeCell ref="A19:A20"/>
    <mergeCell ref="I19:I20"/>
    <mergeCell ref="I21:I24"/>
    <mergeCell ref="I41:I42"/>
    <mergeCell ref="H50:J50"/>
    <mergeCell ref="I83:I86"/>
    <mergeCell ref="I87:J87"/>
    <mergeCell ref="H31:H47"/>
    <mergeCell ref="H51:H66"/>
    <mergeCell ref="I63:I66"/>
    <mergeCell ref="I67:J67"/>
    <mergeCell ref="H70:J70"/>
    <mergeCell ref="H71:H86"/>
    <mergeCell ref="I71:I76"/>
    <mergeCell ref="I77:I80"/>
    <mergeCell ref="I81:I82"/>
    <mergeCell ref="I26:J26"/>
    <mergeCell ref="I27:J27"/>
    <mergeCell ref="H30:J30"/>
    <mergeCell ref="I31:I36"/>
    <mergeCell ref="I37:I40"/>
  </mergeCells>
  <phoneticPr fontId="86" type="noConversion"/>
  <conditionalFormatting sqref="K71:AE86">
    <cfRule type="colorScale" priority="1">
      <colorScale>
        <cfvo type="formula" val="0"/>
        <cfvo type="formula" val="3"/>
        <cfvo type="formula" val="15"/>
        <color rgb="FF9FC5E8"/>
        <color rgb="FFFFFFFF"/>
        <color rgb="FFE67C73"/>
      </colorScale>
    </cfRule>
  </conditionalFormatting>
  <conditionalFormatting sqref="R71:AE86 N83:Q86 K51:M62 X51:AE62 N51:W66 Y65:Z65">
    <cfRule type="cellIs" dxfId="17" priority="2" operator="lessThanOrEqual">
      <formula>0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28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.75" customHeight="1"/>
  <cols>
    <col min="8" max="8" width="16.5703125" customWidth="1"/>
    <col min="10" max="10" width="16" customWidth="1"/>
    <col min="11" max="12" width="17.28515625" customWidth="1"/>
    <col min="17" max="17" width="19" customWidth="1"/>
    <col min="23" max="23" width="16" customWidth="1"/>
  </cols>
  <sheetData>
    <row r="1" spans="1:24" ht="15.75" customHeight="1">
      <c r="A1" s="149"/>
      <c r="B1" s="149"/>
      <c r="C1" s="149"/>
      <c r="D1" s="149" t="s">
        <v>121</v>
      </c>
      <c r="E1" s="149"/>
      <c r="F1" s="915" t="s">
        <v>47</v>
      </c>
      <c r="G1" s="905"/>
      <c r="H1" s="149"/>
      <c r="I1" s="149"/>
    </row>
    <row r="2" spans="1:24" ht="15.75" customHeight="1">
      <c r="A2" s="916" t="s">
        <v>43</v>
      </c>
      <c r="B2" s="862"/>
      <c r="C2" s="863"/>
      <c r="D2" s="296" t="s">
        <v>144</v>
      </c>
      <c r="E2" s="297" t="s">
        <v>145</v>
      </c>
      <c r="F2" s="296" t="s">
        <v>146</v>
      </c>
      <c r="G2" s="298" t="s">
        <v>147</v>
      </c>
      <c r="H2" s="296" t="s">
        <v>148</v>
      </c>
      <c r="I2" s="298" t="s">
        <v>149</v>
      </c>
      <c r="J2" s="299" t="s">
        <v>150</v>
      </c>
      <c r="K2" s="298" t="s">
        <v>151</v>
      </c>
      <c r="L2" s="298" t="s">
        <v>152</v>
      </c>
      <c r="M2" s="299" t="s">
        <v>153</v>
      </c>
      <c r="N2" s="165" t="s">
        <v>154</v>
      </c>
      <c r="O2" s="165" t="s">
        <v>155</v>
      </c>
      <c r="P2" s="300" t="s">
        <v>156</v>
      </c>
      <c r="Q2" s="300" t="s">
        <v>157</v>
      </c>
      <c r="R2" s="165" t="s">
        <v>158</v>
      </c>
      <c r="S2" s="165" t="s">
        <v>159</v>
      </c>
      <c r="T2" s="165" t="s">
        <v>160</v>
      </c>
      <c r="U2" s="300" t="s">
        <v>161</v>
      </c>
      <c r="V2" s="165" t="s">
        <v>162</v>
      </c>
      <c r="W2" s="165" t="s">
        <v>163</v>
      </c>
      <c r="X2" s="298" t="s">
        <v>164</v>
      </c>
    </row>
    <row r="3" spans="1:24" ht="15.75" customHeight="1">
      <c r="A3" s="917"/>
      <c r="B3" s="918" t="s">
        <v>27</v>
      </c>
      <c r="C3" s="301">
        <v>1</v>
      </c>
      <c r="D3" s="302">
        <v>15895</v>
      </c>
      <c r="E3" s="302"/>
      <c r="F3" s="302">
        <v>112</v>
      </c>
      <c r="G3" s="302">
        <v>896</v>
      </c>
      <c r="H3" s="302">
        <v>4184</v>
      </c>
      <c r="I3" s="302">
        <v>4505</v>
      </c>
      <c r="J3" s="302"/>
      <c r="K3" s="298"/>
      <c r="L3" s="302">
        <v>32</v>
      </c>
      <c r="M3" s="302">
        <f>1215+12+3</f>
        <v>1230</v>
      </c>
      <c r="N3" s="302"/>
      <c r="O3" s="302"/>
      <c r="P3" s="302">
        <v>2</v>
      </c>
      <c r="Q3" s="302"/>
      <c r="R3" s="302">
        <v>4</v>
      </c>
      <c r="S3" s="302"/>
      <c r="T3" s="302"/>
      <c r="U3" s="302">
        <v>75</v>
      </c>
      <c r="V3" s="302">
        <f t="shared" ref="V3:V8" si="0">D3+SUM(E3,J3,M3,P3,Q3)-SUM(F3:I3,K3:L3,N3:O3,R3:S3)+U3-T3</f>
        <v>7469</v>
      </c>
      <c r="W3" s="302">
        <v>7454</v>
      </c>
      <c r="X3" s="302">
        <f t="shared" ref="X3:X8" si="1">V3-W3</f>
        <v>15</v>
      </c>
    </row>
    <row r="4" spans="1:24" ht="15.75" customHeight="1">
      <c r="A4" s="865"/>
      <c r="B4" s="919"/>
      <c r="C4" s="301">
        <v>2</v>
      </c>
      <c r="D4" s="302">
        <f>36081-448</f>
        <v>35633</v>
      </c>
      <c r="E4" s="302"/>
      <c r="F4" s="303">
        <v>336</v>
      </c>
      <c r="G4" s="303">
        <v>2240</v>
      </c>
      <c r="H4" s="303">
        <v>3712</v>
      </c>
      <c r="I4" s="303">
        <v>4404</v>
      </c>
      <c r="J4" s="303">
        <v>328</v>
      </c>
      <c r="K4" s="304">
        <v>328</v>
      </c>
      <c r="L4" s="302"/>
      <c r="M4" s="303">
        <f>216+939</f>
        <v>1155</v>
      </c>
      <c r="N4" s="303">
        <v>1</v>
      </c>
      <c r="O4" s="303">
        <v>6</v>
      </c>
      <c r="P4" s="302"/>
      <c r="Q4" s="302"/>
      <c r="R4" s="302"/>
      <c r="S4" s="302"/>
      <c r="T4" s="302"/>
      <c r="U4" s="303">
        <v>58</v>
      </c>
      <c r="V4" s="302">
        <f t="shared" si="0"/>
        <v>26147</v>
      </c>
      <c r="W4" s="302">
        <v>26136</v>
      </c>
      <c r="X4" s="302">
        <f t="shared" si="1"/>
        <v>11</v>
      </c>
    </row>
    <row r="5" spans="1:24" ht="15.75" customHeight="1">
      <c r="A5" s="865"/>
      <c r="B5" s="920"/>
      <c r="C5" s="305">
        <v>3</v>
      </c>
      <c r="D5" s="302">
        <v>14523</v>
      </c>
      <c r="E5" s="302"/>
      <c r="F5" s="302">
        <v>224</v>
      </c>
      <c r="G5" s="302">
        <v>896</v>
      </c>
      <c r="H5" s="302">
        <v>680</v>
      </c>
      <c r="I5" s="302">
        <v>1123</v>
      </c>
      <c r="J5" s="302">
        <v>324</v>
      </c>
      <c r="K5" s="298">
        <v>240</v>
      </c>
      <c r="L5" s="302"/>
      <c r="M5" s="302">
        <v>180</v>
      </c>
      <c r="N5" s="302">
        <v>2</v>
      </c>
      <c r="O5" s="302"/>
      <c r="P5" s="302">
        <v>2</v>
      </c>
      <c r="Q5" s="302"/>
      <c r="R5" s="302"/>
      <c r="S5" s="302"/>
      <c r="T5" s="302">
        <f>1300+2500</f>
        <v>3800</v>
      </c>
      <c r="U5" s="302">
        <v>21</v>
      </c>
      <c r="V5" s="302">
        <f t="shared" si="0"/>
        <v>8085</v>
      </c>
      <c r="W5" s="302">
        <v>8091</v>
      </c>
      <c r="X5" s="302">
        <f t="shared" si="1"/>
        <v>-6</v>
      </c>
    </row>
    <row r="6" spans="1:24" ht="15.75" customHeight="1">
      <c r="A6" s="865"/>
      <c r="B6" s="921" t="s">
        <v>32</v>
      </c>
      <c r="C6" s="306">
        <v>1</v>
      </c>
      <c r="D6" s="302">
        <v>54780</v>
      </c>
      <c r="E6" s="303">
        <v>16896</v>
      </c>
      <c r="F6" s="302">
        <v>448</v>
      </c>
      <c r="G6" s="302">
        <v>1792</v>
      </c>
      <c r="H6" s="302">
        <v>6284</v>
      </c>
      <c r="I6" s="302">
        <v>7589</v>
      </c>
      <c r="J6" s="302"/>
      <c r="K6" s="298"/>
      <c r="L6" s="302"/>
      <c r="M6" s="303">
        <f>6+1755+3</f>
        <v>1764</v>
      </c>
      <c r="N6" s="302"/>
      <c r="O6" s="302"/>
      <c r="P6" s="302"/>
      <c r="Q6" s="302"/>
      <c r="R6" s="303">
        <v>4</v>
      </c>
      <c r="S6" s="302"/>
      <c r="T6" s="302"/>
      <c r="U6" s="302">
        <v>246</v>
      </c>
      <c r="V6" s="302">
        <f t="shared" si="0"/>
        <v>57569</v>
      </c>
      <c r="W6" s="302">
        <v>57556</v>
      </c>
      <c r="X6" s="302">
        <f t="shared" si="1"/>
        <v>13</v>
      </c>
    </row>
    <row r="7" spans="1:24" ht="15.75" customHeight="1">
      <c r="A7" s="865"/>
      <c r="B7" s="919"/>
      <c r="C7" s="306">
        <v>2</v>
      </c>
      <c r="D7" s="302">
        <v>57191</v>
      </c>
      <c r="E7" s="302">
        <v>15360</v>
      </c>
      <c r="F7" s="302">
        <v>448</v>
      </c>
      <c r="G7" s="302">
        <v>1792</v>
      </c>
      <c r="H7" s="302">
        <v>4164</v>
      </c>
      <c r="I7" s="302">
        <v>3979</v>
      </c>
      <c r="J7" s="302"/>
      <c r="K7" s="298"/>
      <c r="L7" s="302"/>
      <c r="M7" s="302">
        <v>1368</v>
      </c>
      <c r="N7" s="302"/>
      <c r="O7" s="302"/>
      <c r="P7" s="302">
        <f>3</f>
        <v>3</v>
      </c>
      <c r="Q7" s="302"/>
      <c r="R7" s="302"/>
      <c r="S7" s="302">
        <v>6</v>
      </c>
      <c r="T7" s="302"/>
      <c r="U7" s="302">
        <v>58</v>
      </c>
      <c r="V7" s="302">
        <f t="shared" si="0"/>
        <v>63591</v>
      </c>
      <c r="W7" s="302">
        <v>63591</v>
      </c>
      <c r="X7" s="302">
        <f t="shared" si="1"/>
        <v>0</v>
      </c>
    </row>
    <row r="8" spans="1:24" ht="15.75" customHeight="1">
      <c r="A8" s="865"/>
      <c r="B8" s="920"/>
      <c r="C8" s="307">
        <v>3</v>
      </c>
      <c r="D8" s="302">
        <v>15223</v>
      </c>
      <c r="E8" s="302">
        <v>4608</v>
      </c>
      <c r="F8" s="302">
        <v>448</v>
      </c>
      <c r="G8" s="302">
        <v>896</v>
      </c>
      <c r="H8" s="302">
        <v>939</v>
      </c>
      <c r="I8" s="302">
        <v>1282</v>
      </c>
      <c r="J8" s="302"/>
      <c r="K8" s="298"/>
      <c r="L8" s="302"/>
      <c r="M8" s="302">
        <v>456</v>
      </c>
      <c r="N8" s="302"/>
      <c r="O8" s="302"/>
      <c r="P8" s="302"/>
      <c r="Q8" s="302">
        <f>4+4</f>
        <v>8</v>
      </c>
      <c r="R8" s="302"/>
      <c r="S8" s="302"/>
      <c r="T8" s="302"/>
      <c r="U8" s="302">
        <v>9</v>
      </c>
      <c r="V8" s="302">
        <f t="shared" si="0"/>
        <v>16739</v>
      </c>
      <c r="W8" s="302">
        <v>16738</v>
      </c>
      <c r="X8" s="302">
        <f t="shared" si="1"/>
        <v>1</v>
      </c>
    </row>
    <row r="9" spans="1:24" ht="15.75" customHeight="1">
      <c r="A9" s="308"/>
      <c r="B9" s="922" t="s">
        <v>38</v>
      </c>
      <c r="C9" s="860"/>
      <c r="D9" s="302">
        <f t="shared" ref="D9:X9" si="2">SUM(D3:D8)</f>
        <v>193245</v>
      </c>
      <c r="E9" s="302">
        <f t="shared" si="2"/>
        <v>36864</v>
      </c>
      <c r="F9" s="302">
        <f t="shared" si="2"/>
        <v>2016</v>
      </c>
      <c r="G9" s="302">
        <f t="shared" si="2"/>
        <v>8512</v>
      </c>
      <c r="H9" s="302">
        <f t="shared" si="2"/>
        <v>19963</v>
      </c>
      <c r="I9" s="302">
        <f t="shared" si="2"/>
        <v>22882</v>
      </c>
      <c r="J9" s="302">
        <f t="shared" si="2"/>
        <v>652</v>
      </c>
      <c r="K9" s="302">
        <f t="shared" si="2"/>
        <v>568</v>
      </c>
      <c r="L9" s="302">
        <f t="shared" si="2"/>
        <v>32</v>
      </c>
      <c r="M9" s="302">
        <f t="shared" si="2"/>
        <v>6153</v>
      </c>
      <c r="N9" s="302">
        <f t="shared" si="2"/>
        <v>3</v>
      </c>
      <c r="O9" s="302">
        <f t="shared" si="2"/>
        <v>6</v>
      </c>
      <c r="P9" s="302">
        <f t="shared" si="2"/>
        <v>7</v>
      </c>
      <c r="Q9" s="302">
        <f t="shared" si="2"/>
        <v>8</v>
      </c>
      <c r="R9" s="302">
        <f t="shared" si="2"/>
        <v>8</v>
      </c>
      <c r="S9" s="302">
        <f t="shared" si="2"/>
        <v>6</v>
      </c>
      <c r="T9" s="302">
        <f t="shared" si="2"/>
        <v>3800</v>
      </c>
      <c r="U9" s="302">
        <f t="shared" si="2"/>
        <v>467</v>
      </c>
      <c r="V9" s="302">
        <f t="shared" si="2"/>
        <v>179600</v>
      </c>
      <c r="W9" s="302">
        <f t="shared" si="2"/>
        <v>179566</v>
      </c>
      <c r="X9" s="302">
        <f t="shared" si="2"/>
        <v>34</v>
      </c>
    </row>
    <row r="10" spans="1:24" ht="15.75" customHeight="1">
      <c r="A10" s="309"/>
      <c r="B10" s="309"/>
      <c r="C10" s="309"/>
      <c r="D10" s="310"/>
      <c r="E10" s="149"/>
      <c r="F10" s="149"/>
      <c r="G10" s="149"/>
      <c r="H10" s="149"/>
      <c r="I10" s="149">
        <v>10702</v>
      </c>
    </row>
    <row r="11" spans="1:24" ht="15.75" customHeight="1">
      <c r="A11" s="309"/>
      <c r="B11" s="309"/>
      <c r="C11" s="309"/>
      <c r="D11" s="149" t="s">
        <v>165</v>
      </c>
      <c r="E11" s="149"/>
      <c r="F11" s="149"/>
      <c r="G11" s="149"/>
      <c r="H11" s="149"/>
      <c r="I11" s="149"/>
      <c r="U11" s="7">
        <v>73</v>
      </c>
    </row>
    <row r="12" spans="1:24" ht="15.75" customHeight="1">
      <c r="A12" s="923" t="s">
        <v>43</v>
      </c>
      <c r="B12" s="862"/>
      <c r="C12" s="863"/>
      <c r="D12" s="165" t="s">
        <v>144</v>
      </c>
      <c r="E12" s="165" t="s">
        <v>145</v>
      </c>
      <c r="F12" s="311" t="s">
        <v>166</v>
      </c>
      <c r="G12" s="311" t="s">
        <v>167</v>
      </c>
      <c r="H12" s="311" t="s">
        <v>168</v>
      </c>
      <c r="I12" s="165" t="s">
        <v>162</v>
      </c>
      <c r="J12" s="165" t="s">
        <v>163</v>
      </c>
      <c r="K12" s="165" t="s">
        <v>164</v>
      </c>
      <c r="U12" s="7">
        <v>9</v>
      </c>
    </row>
    <row r="13" spans="1:24" ht="15.75" customHeight="1">
      <c r="A13" s="917"/>
      <c r="B13" s="918" t="s">
        <v>27</v>
      </c>
      <c r="C13" s="301">
        <v>1</v>
      </c>
      <c r="D13" s="173">
        <v>767</v>
      </c>
      <c r="E13" s="173">
        <v>4184</v>
      </c>
      <c r="F13" s="173">
        <v>1472</v>
      </c>
      <c r="G13" s="173">
        <v>1011</v>
      </c>
      <c r="H13" s="173">
        <v>0</v>
      </c>
      <c r="I13" s="173">
        <f t="shared" ref="I13:I18" si="3">D13+E13-F13-G13+H13</f>
        <v>2468</v>
      </c>
      <c r="J13" s="173">
        <v>2468</v>
      </c>
      <c r="K13" s="173">
        <f t="shared" ref="K13:K18" si="4">I13-J13</f>
        <v>0</v>
      </c>
      <c r="U13" s="7">
        <v>164</v>
      </c>
    </row>
    <row r="14" spans="1:24" ht="15.75" customHeight="1">
      <c r="A14" s="865"/>
      <c r="B14" s="919"/>
      <c r="C14" s="301">
        <v>2</v>
      </c>
      <c r="D14" s="173">
        <v>389</v>
      </c>
      <c r="E14" s="173">
        <v>3712</v>
      </c>
      <c r="F14" s="173">
        <v>1221</v>
      </c>
      <c r="G14" s="173">
        <v>1155</v>
      </c>
      <c r="H14" s="173">
        <v>2</v>
      </c>
      <c r="I14" s="173">
        <f t="shared" si="3"/>
        <v>1727</v>
      </c>
      <c r="J14" s="173">
        <v>1727</v>
      </c>
      <c r="K14" s="173">
        <f t="shared" si="4"/>
        <v>0</v>
      </c>
      <c r="U14" s="7">
        <v>246</v>
      </c>
    </row>
    <row r="15" spans="1:24" ht="15.75" customHeight="1">
      <c r="A15" s="865"/>
      <c r="B15" s="920"/>
      <c r="C15" s="305">
        <v>3</v>
      </c>
      <c r="D15" s="173">
        <v>146</v>
      </c>
      <c r="E15" s="173">
        <v>680</v>
      </c>
      <c r="F15" s="173">
        <v>227</v>
      </c>
      <c r="G15" s="173">
        <v>180</v>
      </c>
      <c r="H15" s="173">
        <v>4</v>
      </c>
      <c r="I15" s="173">
        <f t="shared" si="3"/>
        <v>423</v>
      </c>
      <c r="J15" s="173">
        <v>423</v>
      </c>
      <c r="K15" s="173">
        <f t="shared" si="4"/>
        <v>0</v>
      </c>
      <c r="U15" s="118">
        <f>U6-U14</f>
        <v>0</v>
      </c>
    </row>
    <row r="16" spans="1:24" ht="15.75" customHeight="1">
      <c r="A16" s="865"/>
      <c r="B16" s="921" t="s">
        <v>32</v>
      </c>
      <c r="C16" s="306">
        <v>1</v>
      </c>
      <c r="D16" s="173">
        <v>1911</v>
      </c>
      <c r="E16" s="173">
        <v>6284</v>
      </c>
      <c r="F16" s="173">
        <v>2422</v>
      </c>
      <c r="G16" s="173">
        <v>1977</v>
      </c>
      <c r="H16" s="173">
        <v>7</v>
      </c>
      <c r="I16" s="173">
        <f t="shared" si="3"/>
        <v>3803</v>
      </c>
      <c r="J16" s="173">
        <v>3803</v>
      </c>
      <c r="K16" s="173">
        <f t="shared" si="4"/>
        <v>0</v>
      </c>
    </row>
    <row r="17" spans="1:11" ht="15.75" customHeight="1">
      <c r="A17" s="865"/>
      <c r="B17" s="919"/>
      <c r="C17" s="306">
        <v>2</v>
      </c>
      <c r="D17" s="173">
        <v>1331</v>
      </c>
      <c r="E17" s="173">
        <v>4164</v>
      </c>
      <c r="F17" s="173">
        <v>1784</v>
      </c>
      <c r="G17" s="173">
        <v>1368</v>
      </c>
      <c r="H17" s="173">
        <v>210</v>
      </c>
      <c r="I17" s="173">
        <f t="shared" si="3"/>
        <v>2553</v>
      </c>
      <c r="J17" s="173">
        <v>2133</v>
      </c>
      <c r="K17" s="173">
        <f t="shared" si="4"/>
        <v>420</v>
      </c>
    </row>
    <row r="18" spans="1:11" ht="15.75" customHeight="1">
      <c r="A18" s="865"/>
      <c r="B18" s="920"/>
      <c r="C18" s="307">
        <v>3</v>
      </c>
      <c r="D18" s="173">
        <v>448</v>
      </c>
      <c r="E18" s="173">
        <v>939</v>
      </c>
      <c r="F18" s="173">
        <v>338</v>
      </c>
      <c r="G18" s="173">
        <v>456</v>
      </c>
      <c r="H18" s="173">
        <v>8</v>
      </c>
      <c r="I18" s="173">
        <f t="shared" si="3"/>
        <v>601</v>
      </c>
      <c r="J18" s="173">
        <v>585</v>
      </c>
      <c r="K18" s="173">
        <f t="shared" si="4"/>
        <v>16</v>
      </c>
    </row>
    <row r="19" spans="1:11" ht="15.75" customHeight="1">
      <c r="A19" s="308"/>
      <c r="B19" s="922" t="s">
        <v>38</v>
      </c>
      <c r="C19" s="860"/>
      <c r="D19" s="173">
        <f t="shared" ref="D19:K19" si="5">SUM(D13:D18)</f>
        <v>4992</v>
      </c>
      <c r="E19" s="173">
        <f t="shared" si="5"/>
        <v>19963</v>
      </c>
      <c r="F19" s="173">
        <f t="shared" si="5"/>
        <v>7464</v>
      </c>
      <c r="G19" s="173">
        <f t="shared" si="5"/>
        <v>6147</v>
      </c>
      <c r="H19" s="173">
        <f t="shared" si="5"/>
        <v>231</v>
      </c>
      <c r="I19" s="173">
        <f t="shared" si="5"/>
        <v>11575</v>
      </c>
      <c r="J19" s="173">
        <f t="shared" si="5"/>
        <v>11139</v>
      </c>
      <c r="K19" s="173">
        <f t="shared" si="5"/>
        <v>436</v>
      </c>
    </row>
    <row r="20" spans="1:11" ht="15.75" customHeight="1">
      <c r="A20" s="309"/>
      <c r="B20" s="309"/>
      <c r="C20" s="309"/>
      <c r="D20" s="149" t="s">
        <v>47</v>
      </c>
      <c r="E20" s="149"/>
      <c r="F20" s="149"/>
      <c r="G20" s="149"/>
      <c r="H20" s="149"/>
      <c r="I20" s="149"/>
    </row>
    <row r="21" spans="1:11" ht="15.75" customHeight="1">
      <c r="A21" s="923" t="s">
        <v>43</v>
      </c>
      <c r="B21" s="862"/>
      <c r="C21" s="863"/>
      <c r="D21" s="173" t="s">
        <v>144</v>
      </c>
      <c r="E21" s="173" t="s">
        <v>145</v>
      </c>
      <c r="F21" s="173" t="s">
        <v>169</v>
      </c>
      <c r="G21" s="173" t="s">
        <v>162</v>
      </c>
      <c r="H21" s="173" t="s">
        <v>163</v>
      </c>
      <c r="I21" s="173" t="s">
        <v>164</v>
      </c>
    </row>
    <row r="22" spans="1:11" ht="15.75" customHeight="1">
      <c r="A22" s="917"/>
      <c r="B22" s="918" t="s">
        <v>27</v>
      </c>
      <c r="C22" s="301">
        <v>1</v>
      </c>
      <c r="D22" s="173">
        <v>1484</v>
      </c>
      <c r="E22" s="173">
        <v>1008</v>
      </c>
      <c r="F22" s="173">
        <v>1504</v>
      </c>
      <c r="G22" s="173">
        <f t="shared" ref="G22:G27" si="6">D22+E22-F22</f>
        <v>988</v>
      </c>
      <c r="H22" s="173">
        <v>988</v>
      </c>
      <c r="I22" s="173">
        <f t="shared" ref="I22:I27" si="7">G22-H22</f>
        <v>0</v>
      </c>
    </row>
    <row r="23" spans="1:11" ht="15.75" customHeight="1">
      <c r="A23" s="865"/>
      <c r="B23" s="919"/>
      <c r="C23" s="301">
        <v>2</v>
      </c>
      <c r="D23" s="173">
        <v>1032</v>
      </c>
      <c r="E23" s="173">
        <v>2576</v>
      </c>
      <c r="F23" s="173">
        <v>2276</v>
      </c>
      <c r="G23" s="173">
        <f t="shared" si="6"/>
        <v>1332</v>
      </c>
      <c r="H23" s="173">
        <v>1332</v>
      </c>
      <c r="I23" s="173">
        <f t="shared" si="7"/>
        <v>0</v>
      </c>
    </row>
    <row r="24" spans="1:11" ht="15.75" customHeight="1">
      <c r="A24" s="865"/>
      <c r="B24" s="920"/>
      <c r="C24" s="305">
        <v>3</v>
      </c>
      <c r="D24" s="173">
        <v>1100</v>
      </c>
      <c r="E24" s="173">
        <v>1120</v>
      </c>
      <c r="F24" s="173">
        <v>1452</v>
      </c>
      <c r="G24" s="173">
        <f t="shared" si="6"/>
        <v>768</v>
      </c>
      <c r="H24" s="173">
        <v>768</v>
      </c>
      <c r="I24" s="173">
        <f t="shared" si="7"/>
        <v>0</v>
      </c>
    </row>
    <row r="25" spans="1:11" ht="15.75" customHeight="1">
      <c r="A25" s="865"/>
      <c r="B25" s="921" t="s">
        <v>32</v>
      </c>
      <c r="C25" s="306">
        <v>1</v>
      </c>
      <c r="D25" s="173">
        <v>1828</v>
      </c>
      <c r="E25" s="173">
        <v>2244</v>
      </c>
      <c r="F25" s="173">
        <v>2660</v>
      </c>
      <c r="G25" s="173">
        <f t="shared" si="6"/>
        <v>1412</v>
      </c>
      <c r="H25" s="173">
        <v>1412</v>
      </c>
      <c r="I25" s="173">
        <f t="shared" si="7"/>
        <v>0</v>
      </c>
    </row>
    <row r="26" spans="1:11" ht="15.75" customHeight="1">
      <c r="A26" s="865"/>
      <c r="B26" s="919"/>
      <c r="C26" s="306">
        <v>2</v>
      </c>
      <c r="D26" s="173">
        <v>1712</v>
      </c>
      <c r="E26" s="173">
        <v>2244</v>
      </c>
      <c r="F26" s="173">
        <v>2640</v>
      </c>
      <c r="G26" s="173">
        <f t="shared" si="6"/>
        <v>1316</v>
      </c>
      <c r="H26" s="173">
        <v>1316</v>
      </c>
      <c r="I26" s="173">
        <f t="shared" si="7"/>
        <v>0</v>
      </c>
    </row>
    <row r="27" spans="1:11" ht="15.75" customHeight="1">
      <c r="A27" s="865"/>
      <c r="B27" s="920"/>
      <c r="C27" s="307">
        <v>3</v>
      </c>
      <c r="D27" s="173">
        <v>1200</v>
      </c>
      <c r="E27" s="173">
        <v>1344</v>
      </c>
      <c r="F27" s="173">
        <v>1452</v>
      </c>
      <c r="G27" s="173">
        <f t="shared" si="6"/>
        <v>1092</v>
      </c>
      <c r="H27" s="173">
        <v>1092</v>
      </c>
      <c r="I27" s="173">
        <f t="shared" si="7"/>
        <v>0</v>
      </c>
    </row>
    <row r="28" spans="1:11" ht="15.75" customHeight="1">
      <c r="A28" s="313"/>
      <c r="B28" s="924" t="s">
        <v>38</v>
      </c>
      <c r="C28" s="860"/>
      <c r="D28" s="173">
        <f t="shared" ref="D28:I28" si="8">SUM(D22:D27)</f>
        <v>8356</v>
      </c>
      <c r="E28" s="173">
        <f t="shared" si="8"/>
        <v>10536</v>
      </c>
      <c r="F28" s="173">
        <f t="shared" si="8"/>
        <v>11984</v>
      </c>
      <c r="G28" s="173">
        <f t="shared" si="8"/>
        <v>6908</v>
      </c>
      <c r="H28" s="173">
        <f t="shared" si="8"/>
        <v>6908</v>
      </c>
      <c r="I28" s="173">
        <f t="shared" si="8"/>
        <v>0</v>
      </c>
    </row>
  </sheetData>
  <mergeCells count="16">
    <mergeCell ref="B9:C9"/>
    <mergeCell ref="A12:C12"/>
    <mergeCell ref="B25:B27"/>
    <mergeCell ref="B28:C28"/>
    <mergeCell ref="A13:A18"/>
    <mergeCell ref="B13:B15"/>
    <mergeCell ref="B16:B18"/>
    <mergeCell ref="B19:C19"/>
    <mergeCell ref="A21:C21"/>
    <mergeCell ref="A22:A27"/>
    <mergeCell ref="B22:B24"/>
    <mergeCell ref="F1:G1"/>
    <mergeCell ref="A2:C2"/>
    <mergeCell ref="A3:A8"/>
    <mergeCell ref="B3:B5"/>
    <mergeCell ref="B6:B8"/>
  </mergeCells>
  <phoneticPr fontId="8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A8AC6"/>
    <outlinePr summaryBelow="0" summaryRight="0"/>
  </sheetPr>
  <dimension ref="A1:AC48"/>
  <sheetViews>
    <sheetView workbookViewId="0"/>
  </sheetViews>
  <sheetFormatPr defaultColWidth="14.42578125" defaultRowHeight="15.75" customHeight="1" outlineLevelRow="1"/>
  <cols>
    <col min="2" max="5" width="14.42578125" hidden="1"/>
  </cols>
  <sheetData>
    <row r="1" spans="1:29" ht="15">
      <c r="A1" s="1"/>
      <c r="B1" s="1"/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9" ht="17.25">
      <c r="A2" s="1"/>
      <c r="B2" s="1"/>
      <c r="C2" s="1"/>
      <c r="D2" s="1"/>
      <c r="E2" s="1"/>
      <c r="F2" s="5" t="s">
        <v>170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9" ht="15">
      <c r="A3" s="1"/>
      <c r="B3" s="1"/>
      <c r="C3" s="1"/>
      <c r="D3" s="1"/>
      <c r="E3" s="1"/>
      <c r="F3" s="3"/>
      <c r="G3" s="3"/>
      <c r="H3" s="3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"/>
    </row>
    <row r="4" spans="1:29" ht="15">
      <c r="A4" s="1"/>
      <c r="B4" s="1"/>
      <c r="C4" s="1"/>
      <c r="D4" s="1"/>
      <c r="E4" s="1"/>
      <c r="F4" s="3"/>
      <c r="G4" s="3"/>
      <c r="H4" s="3"/>
      <c r="I4" s="314"/>
      <c r="J4" s="314"/>
      <c r="K4" s="314"/>
      <c r="L4" s="314"/>
      <c r="M4" s="314"/>
      <c r="N4" s="314"/>
      <c r="O4" s="314"/>
      <c r="P4" s="314"/>
      <c r="Q4" s="314"/>
      <c r="R4" s="315"/>
      <c r="S4" s="3"/>
      <c r="AA4" s="7">
        <v>3</v>
      </c>
    </row>
    <row r="5" spans="1:29" ht="15">
      <c r="A5" s="1"/>
      <c r="B5" s="1"/>
      <c r="C5" s="1"/>
      <c r="D5" s="1"/>
      <c r="E5" s="1"/>
      <c r="F5" s="925" t="s">
        <v>171</v>
      </c>
      <c r="G5" s="926"/>
      <c r="H5" s="926"/>
      <c r="I5" s="316" t="s">
        <v>172</v>
      </c>
      <c r="J5" s="317" t="s">
        <v>173</v>
      </c>
      <c r="K5" s="317" t="s">
        <v>174</v>
      </c>
      <c r="L5" s="317" t="s">
        <v>175</v>
      </c>
      <c r="M5" s="316" t="s">
        <v>176</v>
      </c>
      <c r="N5" s="316" t="s">
        <v>177</v>
      </c>
      <c r="O5" s="316" t="s">
        <v>178</v>
      </c>
      <c r="P5" s="317" t="s">
        <v>179</v>
      </c>
      <c r="Q5" s="316" t="s">
        <v>180</v>
      </c>
      <c r="R5" s="316" t="s">
        <v>181</v>
      </c>
      <c r="S5" s="316" t="s">
        <v>182</v>
      </c>
      <c r="T5" s="316" t="s">
        <v>183</v>
      </c>
      <c r="U5" s="316" t="s">
        <v>184</v>
      </c>
    </row>
    <row r="6" spans="1:29" ht="15">
      <c r="A6" s="1"/>
      <c r="B6" s="1"/>
      <c r="C6" s="1"/>
      <c r="D6" s="1"/>
      <c r="E6" s="1"/>
      <c r="F6" s="927" t="s">
        <v>13</v>
      </c>
      <c r="G6" s="862"/>
      <c r="H6" s="863"/>
      <c r="I6" s="318" t="s">
        <v>20</v>
      </c>
      <c r="J6" s="318" t="s">
        <v>21</v>
      </c>
      <c r="K6" s="14" t="s">
        <v>22</v>
      </c>
      <c r="L6" s="319" t="s">
        <v>23</v>
      </c>
      <c r="M6" s="320" t="s">
        <v>24</v>
      </c>
      <c r="N6" s="318" t="s">
        <v>25</v>
      </c>
      <c r="O6" s="318" t="s">
        <v>14</v>
      </c>
      <c r="P6" s="318" t="s">
        <v>15</v>
      </c>
      <c r="Q6" s="318" t="s">
        <v>16</v>
      </c>
      <c r="R6" s="318" t="s">
        <v>17</v>
      </c>
      <c r="S6" s="18" t="s">
        <v>18</v>
      </c>
      <c r="T6" s="18" t="s">
        <v>19</v>
      </c>
      <c r="U6" s="18" t="s">
        <v>20</v>
      </c>
      <c r="V6" s="18" t="s">
        <v>21</v>
      </c>
      <c r="W6" s="18" t="s">
        <v>22</v>
      </c>
      <c r="Y6" s="321" t="s">
        <v>69</v>
      </c>
      <c r="Z6" s="322" t="s">
        <v>185</v>
      </c>
    </row>
    <row r="7" spans="1:29" ht="15">
      <c r="A7" s="1"/>
      <c r="B7" s="1"/>
      <c r="C7" s="1"/>
      <c r="D7" s="1"/>
      <c r="E7" s="1"/>
      <c r="F7" s="928"/>
      <c r="G7" s="929" t="s">
        <v>27</v>
      </c>
      <c r="H7" s="323">
        <v>1</v>
      </c>
      <c r="I7" s="324">
        <v>12096</v>
      </c>
      <c r="J7" s="325">
        <v>19036</v>
      </c>
      <c r="K7" s="326"/>
      <c r="L7" s="327">
        <f>2880+2896</f>
        <v>5776</v>
      </c>
      <c r="M7" s="328"/>
      <c r="N7" s="329"/>
      <c r="O7" s="330"/>
      <c r="P7" s="330">
        <v>2880</v>
      </c>
      <c r="Q7" s="331"/>
      <c r="R7" s="331">
        <f>4176*4</f>
        <v>16704</v>
      </c>
      <c r="S7" s="331"/>
      <c r="T7" s="331"/>
      <c r="U7" s="331"/>
      <c r="V7" s="330"/>
      <c r="W7" s="330"/>
      <c r="X7" s="118"/>
      <c r="Y7" s="332" t="s">
        <v>75</v>
      </c>
      <c r="Z7" s="333">
        <f t="shared" ref="Z7:Z12" si="0">SUM(W7:Y7)</f>
        <v>0</v>
      </c>
      <c r="AA7" s="334">
        <v>9919</v>
      </c>
      <c r="AB7" s="335">
        <v>8462</v>
      </c>
      <c r="AC7" s="335">
        <v>8562</v>
      </c>
    </row>
    <row r="8" spans="1:29" ht="15">
      <c r="A8" s="1"/>
      <c r="B8" s="1"/>
      <c r="C8" s="1"/>
      <c r="D8" s="1"/>
      <c r="E8" s="1"/>
      <c r="F8" s="865"/>
      <c r="G8" s="884"/>
      <c r="H8" s="323">
        <v>2</v>
      </c>
      <c r="I8" s="324">
        <v>14976</v>
      </c>
      <c r="J8" s="325">
        <v>30252</v>
      </c>
      <c r="K8" s="337">
        <f>5760</f>
        <v>5760</v>
      </c>
      <c r="L8" s="341">
        <f>7640+9372</f>
        <v>17012</v>
      </c>
      <c r="M8" s="343"/>
      <c r="N8" s="329"/>
      <c r="O8" s="330"/>
      <c r="P8" s="330">
        <v>9792</v>
      </c>
      <c r="Q8" s="331"/>
      <c r="R8" s="331">
        <f>2160*4</f>
        <v>8640</v>
      </c>
      <c r="S8" s="331"/>
      <c r="T8" s="331"/>
      <c r="U8" s="331"/>
      <c r="V8" s="330"/>
      <c r="W8" s="330"/>
      <c r="X8" s="118"/>
      <c r="Y8" s="332" t="s">
        <v>76</v>
      </c>
      <c r="Z8" s="333">
        <f t="shared" si="0"/>
        <v>0</v>
      </c>
      <c r="AA8" s="334">
        <v>13593</v>
      </c>
      <c r="AB8" s="335">
        <v>11805</v>
      </c>
      <c r="AC8" s="335">
        <v>10605</v>
      </c>
    </row>
    <row r="9" spans="1:29" ht="15">
      <c r="A9" s="1"/>
      <c r="B9" s="1"/>
      <c r="C9" s="1"/>
      <c r="D9" s="1"/>
      <c r="E9" s="1"/>
      <c r="F9" s="865"/>
      <c r="G9" s="885"/>
      <c r="H9" s="345">
        <v>3</v>
      </c>
      <c r="I9" s="324">
        <v>4608</v>
      </c>
      <c r="J9" s="325">
        <v>25380</v>
      </c>
      <c r="K9" s="337">
        <v>6912</v>
      </c>
      <c r="L9" s="346"/>
      <c r="M9" s="343"/>
      <c r="N9" s="347"/>
      <c r="O9" s="330"/>
      <c r="P9" s="330"/>
      <c r="Q9" s="331"/>
      <c r="R9" s="331"/>
      <c r="S9" s="331"/>
      <c r="T9" s="331"/>
      <c r="U9" s="331"/>
      <c r="V9" s="330"/>
      <c r="W9" s="330"/>
      <c r="X9" s="118"/>
      <c r="Y9" s="332" t="s">
        <v>78</v>
      </c>
      <c r="Z9" s="333">
        <f t="shared" si="0"/>
        <v>0</v>
      </c>
      <c r="AA9" s="334">
        <v>3902</v>
      </c>
      <c r="AB9" s="335">
        <v>3755</v>
      </c>
      <c r="AC9" s="335">
        <v>3600</v>
      </c>
    </row>
    <row r="10" spans="1:29" ht="15">
      <c r="A10" s="1"/>
      <c r="B10" s="1"/>
      <c r="C10" s="1"/>
      <c r="D10" s="1"/>
      <c r="E10" s="1"/>
      <c r="F10" s="865"/>
      <c r="G10" s="930" t="s">
        <v>32</v>
      </c>
      <c r="H10" s="348">
        <v>1</v>
      </c>
      <c r="I10" s="349"/>
      <c r="J10" s="324">
        <v>28032</v>
      </c>
      <c r="K10" s="350">
        <v>1760</v>
      </c>
      <c r="L10" s="341">
        <f>10752+25320</f>
        <v>36072</v>
      </c>
      <c r="M10" s="351">
        <f>3072+7296</f>
        <v>10368</v>
      </c>
      <c r="N10" s="352">
        <f>338+1152</f>
        <v>1490</v>
      </c>
      <c r="O10" s="353">
        <f>1916+5760+1920+1152+384+20736</f>
        <v>31868</v>
      </c>
      <c r="P10" s="353"/>
      <c r="Q10" s="331"/>
      <c r="R10" s="331">
        <f>4032*4</f>
        <v>16128</v>
      </c>
      <c r="S10" s="331"/>
      <c r="T10" s="331"/>
      <c r="U10" s="331"/>
      <c r="V10" s="330"/>
      <c r="W10" s="330"/>
      <c r="Y10" s="332" t="s">
        <v>80</v>
      </c>
      <c r="Z10" s="333">
        <f t="shared" si="0"/>
        <v>0</v>
      </c>
      <c r="AA10" s="334">
        <v>12546</v>
      </c>
      <c r="AB10" s="335">
        <v>12378</v>
      </c>
      <c r="AC10" s="335">
        <v>11714</v>
      </c>
    </row>
    <row r="11" spans="1:29" ht="15">
      <c r="A11" s="1"/>
      <c r="B11" s="1"/>
      <c r="C11" s="1"/>
      <c r="D11" s="1"/>
      <c r="E11" s="1"/>
      <c r="F11" s="865"/>
      <c r="G11" s="884"/>
      <c r="H11" s="348">
        <v>2</v>
      </c>
      <c r="I11" s="349"/>
      <c r="J11" s="356"/>
      <c r="K11" s="337">
        <f>7296</f>
        <v>7296</v>
      </c>
      <c r="L11" s="357">
        <f>292+9216</f>
        <v>9508</v>
      </c>
      <c r="M11" s="351">
        <f>16896+3072</f>
        <v>19968</v>
      </c>
      <c r="N11" s="329">
        <f>212+384+768</f>
        <v>1364</v>
      </c>
      <c r="O11" s="330">
        <v>17664</v>
      </c>
      <c r="P11" s="353">
        <v>9216</v>
      </c>
      <c r="Q11" s="331"/>
      <c r="R11" s="331">
        <f>2880*4</f>
        <v>11520</v>
      </c>
      <c r="S11" s="331"/>
      <c r="T11" s="331"/>
      <c r="U11" s="331"/>
      <c r="V11" s="330"/>
      <c r="W11" s="330"/>
      <c r="Y11" s="332" t="s">
        <v>81</v>
      </c>
      <c r="Z11" s="333">
        <f t="shared" si="0"/>
        <v>0</v>
      </c>
      <c r="AA11" s="334">
        <v>10462</v>
      </c>
      <c r="AB11" s="335">
        <v>10136</v>
      </c>
      <c r="AC11" s="335">
        <v>10741</v>
      </c>
    </row>
    <row r="12" spans="1:29" ht="15">
      <c r="A12" s="1"/>
      <c r="B12" s="1"/>
      <c r="C12" s="1"/>
      <c r="D12" s="1"/>
      <c r="E12" s="1"/>
      <c r="F12" s="865"/>
      <c r="G12" s="885"/>
      <c r="H12" s="358">
        <v>3</v>
      </c>
      <c r="I12" s="349"/>
      <c r="J12" s="359">
        <v>8820</v>
      </c>
      <c r="K12" s="360"/>
      <c r="L12" s="361">
        <v>3508</v>
      </c>
      <c r="M12" s="351">
        <f>5376+3840</f>
        <v>9216</v>
      </c>
      <c r="N12" s="352">
        <f>212+6528</f>
        <v>6740</v>
      </c>
      <c r="O12" s="330">
        <v>5760</v>
      </c>
      <c r="P12" s="353"/>
      <c r="Q12" s="331"/>
      <c r="R12" s="331"/>
      <c r="S12" s="331"/>
      <c r="T12" s="331"/>
      <c r="U12" s="331"/>
      <c r="V12" s="330"/>
      <c r="W12" s="330"/>
      <c r="X12" s="118"/>
      <c r="Y12" s="332" t="s">
        <v>83</v>
      </c>
      <c r="Z12" s="333">
        <f t="shared" si="0"/>
        <v>0</v>
      </c>
      <c r="AA12" s="334">
        <v>4541</v>
      </c>
      <c r="AB12" s="335">
        <v>4407</v>
      </c>
      <c r="AC12" s="335">
        <v>3939</v>
      </c>
    </row>
    <row r="13" spans="1:29" ht="15">
      <c r="A13" s="1"/>
      <c r="B13" s="1"/>
      <c r="C13" s="1"/>
      <c r="D13" s="1"/>
      <c r="E13" s="1"/>
      <c r="F13" s="865"/>
      <c r="G13" s="931" t="s">
        <v>38</v>
      </c>
      <c r="H13" s="870"/>
      <c r="I13" s="70">
        <f t="shared" ref="I13:W13" si="1">SUM(I7:I12)</f>
        <v>31680</v>
      </c>
      <c r="J13" s="70">
        <f t="shared" si="1"/>
        <v>111520</v>
      </c>
      <c r="K13" s="68">
        <f t="shared" si="1"/>
        <v>21728</v>
      </c>
      <c r="L13" s="362">
        <f t="shared" si="1"/>
        <v>71876</v>
      </c>
      <c r="M13" s="363">
        <f t="shared" si="1"/>
        <v>39552</v>
      </c>
      <c r="N13" s="70">
        <f t="shared" si="1"/>
        <v>9594</v>
      </c>
      <c r="O13" s="70">
        <f t="shared" si="1"/>
        <v>55292</v>
      </c>
      <c r="P13" s="70">
        <f t="shared" si="1"/>
        <v>21888</v>
      </c>
      <c r="Q13" s="70">
        <f t="shared" si="1"/>
        <v>0</v>
      </c>
      <c r="R13" s="70">
        <f t="shared" si="1"/>
        <v>52992</v>
      </c>
      <c r="S13" s="70">
        <f t="shared" si="1"/>
        <v>0</v>
      </c>
      <c r="T13" s="70">
        <f t="shared" si="1"/>
        <v>0</v>
      </c>
      <c r="U13" s="70">
        <f t="shared" si="1"/>
        <v>0</v>
      </c>
      <c r="V13" s="70">
        <f t="shared" si="1"/>
        <v>0</v>
      </c>
      <c r="W13" s="70">
        <f t="shared" si="1"/>
        <v>0</v>
      </c>
    </row>
    <row r="14" spans="1:29" ht="15">
      <c r="A14" s="1"/>
      <c r="B14" s="1"/>
      <c r="C14" s="1"/>
      <c r="D14" s="1"/>
      <c r="E14" s="1"/>
      <c r="F14" s="865"/>
      <c r="G14" s="931" t="s">
        <v>39</v>
      </c>
      <c r="H14" s="870"/>
      <c r="I14" s="70" t="e">
        <f t="shared" ref="I14:W14" si="2">#REF!</f>
        <v>#REF!</v>
      </c>
      <c r="J14" s="70" t="e">
        <f t="shared" si="2"/>
        <v>#REF!</v>
      </c>
      <c r="K14" s="68" t="e">
        <f t="shared" si="2"/>
        <v>#REF!</v>
      </c>
      <c r="L14" s="362" t="e">
        <f t="shared" si="2"/>
        <v>#REF!</v>
      </c>
      <c r="M14" s="363" t="e">
        <f t="shared" si="2"/>
        <v>#REF!</v>
      </c>
      <c r="N14" s="70" t="e">
        <f t="shared" si="2"/>
        <v>#REF!</v>
      </c>
      <c r="O14" s="70" t="e">
        <f t="shared" si="2"/>
        <v>#REF!</v>
      </c>
      <c r="P14" s="70" t="e">
        <f t="shared" si="2"/>
        <v>#REF!</v>
      </c>
      <c r="Q14" s="70" t="e">
        <f t="shared" si="2"/>
        <v>#REF!</v>
      </c>
      <c r="R14" s="70" t="e">
        <f t="shared" si="2"/>
        <v>#REF!</v>
      </c>
      <c r="S14" s="70" t="e">
        <f t="shared" si="2"/>
        <v>#REF!</v>
      </c>
      <c r="T14" s="70" t="e">
        <f t="shared" si="2"/>
        <v>#REF!</v>
      </c>
      <c r="U14" s="70" t="e">
        <f t="shared" si="2"/>
        <v>#REF!</v>
      </c>
      <c r="V14" s="70" t="e">
        <f t="shared" si="2"/>
        <v>#REF!</v>
      </c>
      <c r="W14" s="70" t="e">
        <f t="shared" si="2"/>
        <v>#REF!</v>
      </c>
      <c r="AA14" s="7">
        <f t="shared" ref="AA14:AC14" si="3">AA7*3</f>
        <v>29757</v>
      </c>
      <c r="AB14" s="7">
        <f t="shared" si="3"/>
        <v>25386</v>
      </c>
      <c r="AC14" s="7">
        <f t="shared" si="3"/>
        <v>25686</v>
      </c>
    </row>
    <row r="15" spans="1:29" ht="15">
      <c r="A15" s="1"/>
      <c r="B15" s="1"/>
      <c r="C15" s="1"/>
      <c r="D15" s="1"/>
      <c r="E15" s="1"/>
      <c r="F15" s="866"/>
      <c r="G15" s="931" t="s">
        <v>40</v>
      </c>
      <c r="H15" s="870"/>
      <c r="I15" s="70" t="e">
        <f t="shared" ref="I15:W15" si="4">I14* 1456.78</f>
        <v>#REF!</v>
      </c>
      <c r="J15" s="70" t="e">
        <f t="shared" si="4"/>
        <v>#REF!</v>
      </c>
      <c r="K15" s="68" t="e">
        <f t="shared" si="4"/>
        <v>#REF!</v>
      </c>
      <c r="L15" s="364" t="e">
        <f t="shared" si="4"/>
        <v>#REF!</v>
      </c>
      <c r="M15" s="363" t="e">
        <f t="shared" si="4"/>
        <v>#REF!</v>
      </c>
      <c r="N15" s="70" t="e">
        <f t="shared" si="4"/>
        <v>#REF!</v>
      </c>
      <c r="O15" s="70" t="e">
        <f t="shared" si="4"/>
        <v>#REF!</v>
      </c>
      <c r="P15" s="70" t="e">
        <f t="shared" si="4"/>
        <v>#REF!</v>
      </c>
      <c r="Q15" s="70" t="e">
        <f t="shared" si="4"/>
        <v>#REF!</v>
      </c>
      <c r="R15" s="70" t="e">
        <f t="shared" si="4"/>
        <v>#REF!</v>
      </c>
      <c r="S15" s="70" t="e">
        <f t="shared" si="4"/>
        <v>#REF!</v>
      </c>
      <c r="T15" s="70" t="e">
        <f t="shared" si="4"/>
        <v>#REF!</v>
      </c>
      <c r="U15" s="70" t="e">
        <f t="shared" si="4"/>
        <v>#REF!</v>
      </c>
      <c r="V15" s="70" t="e">
        <f t="shared" si="4"/>
        <v>#REF!</v>
      </c>
      <c r="W15" s="70" t="e">
        <f t="shared" si="4"/>
        <v>#REF!</v>
      </c>
      <c r="AA15" s="7">
        <f t="shared" ref="AA15:AC15" si="5">AA8*3</f>
        <v>40779</v>
      </c>
      <c r="AB15" s="7">
        <f t="shared" si="5"/>
        <v>35415</v>
      </c>
      <c r="AC15" s="7">
        <f t="shared" si="5"/>
        <v>31815</v>
      </c>
    </row>
    <row r="16" spans="1:29" ht="15">
      <c r="A16" s="1"/>
      <c r="B16" s="1"/>
      <c r="C16" s="1"/>
      <c r="D16" s="1"/>
      <c r="E16" s="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AA16" s="7">
        <f t="shared" ref="AA16:AC16" si="6">AA9*3</f>
        <v>11706</v>
      </c>
      <c r="AB16" s="7">
        <f t="shared" si="6"/>
        <v>11265</v>
      </c>
      <c r="AC16" s="7">
        <f t="shared" si="6"/>
        <v>10800</v>
      </c>
    </row>
    <row r="17" spans="1:29" ht="15">
      <c r="A17" s="1"/>
      <c r="B17" s="1"/>
      <c r="C17" s="1"/>
      <c r="D17" s="1"/>
      <c r="E17" s="1"/>
      <c r="F17" s="365"/>
      <c r="G17" s="365"/>
      <c r="H17" s="365"/>
      <c r="I17" s="366" t="s">
        <v>41</v>
      </c>
      <c r="J17" s="366" t="s">
        <v>41</v>
      </c>
      <c r="K17" s="366" t="s">
        <v>41</v>
      </c>
      <c r="L17" s="367" t="s">
        <v>42</v>
      </c>
      <c r="M17" s="366" t="s">
        <v>42</v>
      </c>
      <c r="N17" s="366" t="s">
        <v>42</v>
      </c>
      <c r="O17" s="366" t="s">
        <v>42</v>
      </c>
      <c r="P17" s="367" t="s">
        <v>42</v>
      </c>
      <c r="Q17" s="366" t="s">
        <v>42</v>
      </c>
      <c r="R17" s="366" t="s">
        <v>42</v>
      </c>
      <c r="S17" s="3"/>
      <c r="AA17" s="7">
        <f t="shared" ref="AA17:AC17" si="7">AA10*3</f>
        <v>37638</v>
      </c>
      <c r="AB17" s="7">
        <f t="shared" si="7"/>
        <v>37134</v>
      </c>
      <c r="AC17" s="7">
        <f t="shared" si="7"/>
        <v>35142</v>
      </c>
    </row>
    <row r="18" spans="1:29" ht="15">
      <c r="A18" s="1"/>
      <c r="B18" s="1"/>
      <c r="C18" s="1"/>
      <c r="D18" s="1"/>
      <c r="E18" s="1"/>
      <c r="F18" s="932" t="s">
        <v>43</v>
      </c>
      <c r="G18" s="862"/>
      <c r="H18" s="863"/>
      <c r="I18" s="238" t="s">
        <v>20</v>
      </c>
      <c r="J18" s="238" t="s">
        <v>21</v>
      </c>
      <c r="K18" s="103" t="s">
        <v>22</v>
      </c>
      <c r="L18" s="368" t="s">
        <v>23</v>
      </c>
      <c r="M18" s="369" t="s">
        <v>179</v>
      </c>
      <c r="N18" s="238" t="s">
        <v>25</v>
      </c>
      <c r="O18" s="238" t="s">
        <v>14</v>
      </c>
      <c r="P18" s="238" t="s">
        <v>15</v>
      </c>
      <c r="Q18" s="238" t="s">
        <v>16</v>
      </c>
      <c r="R18" s="238" t="s">
        <v>17</v>
      </c>
      <c r="S18" s="83" t="s">
        <v>18</v>
      </c>
      <c r="T18" s="83" t="s">
        <v>19</v>
      </c>
      <c r="U18" s="83" t="s">
        <v>20</v>
      </c>
      <c r="V18" s="83" t="s">
        <v>21</v>
      </c>
      <c r="W18" s="83" t="s">
        <v>22</v>
      </c>
      <c r="AA18" s="7">
        <f t="shared" ref="AA18:AC18" si="8">AA11*3</f>
        <v>31386</v>
      </c>
      <c r="AB18" s="7">
        <f t="shared" si="8"/>
        <v>30408</v>
      </c>
      <c r="AC18" s="7">
        <f t="shared" si="8"/>
        <v>32223</v>
      </c>
    </row>
    <row r="19" spans="1:29" ht="15">
      <c r="A19" s="1"/>
      <c r="B19" s="1"/>
      <c r="C19" s="1"/>
      <c r="D19" s="1"/>
      <c r="E19" s="1"/>
      <c r="F19" s="933"/>
      <c r="G19" s="929" t="s">
        <v>27</v>
      </c>
      <c r="H19" s="323">
        <v>1</v>
      </c>
      <c r="I19" s="370">
        <v>8462</v>
      </c>
      <c r="J19" s="371">
        <v>8396</v>
      </c>
      <c r="K19" s="372">
        <v>8562</v>
      </c>
      <c r="L19" s="373">
        <v>8839</v>
      </c>
      <c r="M19" s="374">
        <v>8713</v>
      </c>
      <c r="N19" s="375">
        <v>8626</v>
      </c>
      <c r="O19" s="375">
        <v>8540</v>
      </c>
      <c r="P19" s="375">
        <v>8497</v>
      </c>
      <c r="Q19" s="375">
        <v>8582</v>
      </c>
      <c r="R19" s="375">
        <v>8754</v>
      </c>
      <c r="S19" s="375">
        <v>8841</v>
      </c>
      <c r="T19" s="375">
        <v>8886</v>
      </c>
      <c r="U19" s="375">
        <v>8797</v>
      </c>
      <c r="V19" s="375">
        <v>8665</v>
      </c>
      <c r="W19" s="375">
        <v>8752</v>
      </c>
      <c r="AA19" s="7">
        <f t="shared" ref="AA19:AC19" si="9">AA12*3</f>
        <v>13623</v>
      </c>
      <c r="AB19" s="7">
        <f t="shared" si="9"/>
        <v>13221</v>
      </c>
      <c r="AC19" s="7">
        <f t="shared" si="9"/>
        <v>11817</v>
      </c>
    </row>
    <row r="20" spans="1:29" ht="15">
      <c r="A20" s="1"/>
      <c r="B20" s="1"/>
      <c r="C20" s="1"/>
      <c r="D20" s="1"/>
      <c r="E20" s="1"/>
      <c r="F20" s="865"/>
      <c r="G20" s="884"/>
      <c r="H20" s="323">
        <v>2</v>
      </c>
      <c r="I20" s="370">
        <v>11805</v>
      </c>
      <c r="J20" s="371">
        <v>11381</v>
      </c>
      <c r="K20" s="372">
        <v>10605</v>
      </c>
      <c r="L20" s="373">
        <v>9769</v>
      </c>
      <c r="M20" s="376">
        <v>9681</v>
      </c>
      <c r="N20" s="377">
        <v>9536</v>
      </c>
      <c r="O20" s="377">
        <v>9488</v>
      </c>
      <c r="P20" s="377">
        <v>9536</v>
      </c>
      <c r="Q20" s="377">
        <v>9631</v>
      </c>
      <c r="R20" s="377">
        <v>9823</v>
      </c>
      <c r="S20" s="377">
        <v>9693</v>
      </c>
      <c r="T20" s="377">
        <v>9628</v>
      </c>
      <c r="U20" s="377">
        <v>9564</v>
      </c>
      <c r="V20" s="377">
        <v>9532</v>
      </c>
      <c r="W20" s="377">
        <v>9595</v>
      </c>
    </row>
    <row r="21" spans="1:29" ht="15">
      <c r="A21" s="1"/>
      <c r="B21" s="1"/>
      <c r="C21" s="1"/>
      <c r="D21" s="1"/>
      <c r="E21" s="1"/>
      <c r="F21" s="865"/>
      <c r="G21" s="885"/>
      <c r="H21" s="345">
        <v>3</v>
      </c>
      <c r="I21" s="370">
        <v>3755</v>
      </c>
      <c r="J21" s="371">
        <v>3498</v>
      </c>
      <c r="K21" s="372">
        <v>3600</v>
      </c>
      <c r="L21" s="373">
        <v>3523</v>
      </c>
      <c r="M21" s="376">
        <v>3381</v>
      </c>
      <c r="N21" s="377">
        <v>3347</v>
      </c>
      <c r="O21" s="377">
        <v>3313</v>
      </c>
      <c r="P21" s="377">
        <v>3330</v>
      </c>
      <c r="Q21" s="377">
        <v>3363</v>
      </c>
      <c r="R21" s="377">
        <v>3397</v>
      </c>
      <c r="S21" s="377">
        <v>3374</v>
      </c>
      <c r="T21" s="377">
        <v>3340</v>
      </c>
      <c r="U21" s="377">
        <v>3329</v>
      </c>
      <c r="V21" s="377">
        <v>3340</v>
      </c>
      <c r="W21" s="377">
        <v>3363</v>
      </c>
    </row>
    <row r="22" spans="1:29" ht="15">
      <c r="A22" s="1"/>
      <c r="B22" s="1"/>
      <c r="C22" s="1"/>
      <c r="D22" s="1"/>
      <c r="E22" s="1"/>
      <c r="F22" s="865"/>
      <c r="G22" s="930" t="s">
        <v>32</v>
      </c>
      <c r="H22" s="348">
        <v>1</v>
      </c>
      <c r="I22" s="370">
        <v>12378</v>
      </c>
      <c r="J22" s="371">
        <v>11967</v>
      </c>
      <c r="K22" s="372">
        <v>11714</v>
      </c>
      <c r="L22" s="373">
        <v>11979</v>
      </c>
      <c r="M22" s="376">
        <v>11790</v>
      </c>
      <c r="N22" s="377">
        <v>11731</v>
      </c>
      <c r="O22" s="377">
        <v>11848</v>
      </c>
      <c r="P22" s="377">
        <v>11967</v>
      </c>
      <c r="Q22" s="377">
        <v>12206</v>
      </c>
      <c r="R22" s="377">
        <v>12450</v>
      </c>
      <c r="S22" s="377">
        <v>12574</v>
      </c>
      <c r="T22" s="377">
        <v>12637</v>
      </c>
      <c r="U22" s="377">
        <v>12511</v>
      </c>
      <c r="V22" s="377">
        <v>12574</v>
      </c>
      <c r="W22" s="377">
        <v>12624</v>
      </c>
    </row>
    <row r="23" spans="1:29" ht="15">
      <c r="A23" s="1"/>
      <c r="B23" s="1"/>
      <c r="C23" s="1"/>
      <c r="D23" s="1"/>
      <c r="E23" s="1"/>
      <c r="F23" s="865"/>
      <c r="G23" s="884"/>
      <c r="H23" s="348">
        <v>2</v>
      </c>
      <c r="I23" s="370">
        <v>10136</v>
      </c>
      <c r="J23" s="371">
        <v>10658</v>
      </c>
      <c r="K23" s="372">
        <v>10741</v>
      </c>
      <c r="L23" s="373">
        <v>11355</v>
      </c>
      <c r="M23" s="376">
        <v>11138</v>
      </c>
      <c r="N23" s="377">
        <v>11250</v>
      </c>
      <c r="O23" s="377">
        <v>11362</v>
      </c>
      <c r="P23" s="377">
        <v>11249</v>
      </c>
      <c r="Q23" s="377">
        <v>11305</v>
      </c>
      <c r="R23" s="377">
        <v>11418</v>
      </c>
      <c r="S23" s="377">
        <v>11342</v>
      </c>
      <c r="T23" s="377">
        <v>11304</v>
      </c>
      <c r="U23" s="377">
        <v>11379</v>
      </c>
      <c r="V23" s="377">
        <v>11455</v>
      </c>
      <c r="W23" s="377">
        <v>11608</v>
      </c>
    </row>
    <row r="24" spans="1:29" ht="15">
      <c r="A24" s="1"/>
      <c r="B24" s="1"/>
      <c r="C24" s="1"/>
      <c r="D24" s="1"/>
      <c r="E24" s="1"/>
      <c r="F24" s="865"/>
      <c r="G24" s="885"/>
      <c r="H24" s="358">
        <v>3</v>
      </c>
      <c r="I24" s="370">
        <v>4407</v>
      </c>
      <c r="J24" s="371">
        <v>3907</v>
      </c>
      <c r="K24" s="372">
        <v>3939</v>
      </c>
      <c r="L24" s="373">
        <v>3866</v>
      </c>
      <c r="M24" s="376">
        <v>3928</v>
      </c>
      <c r="N24" s="377">
        <v>3947</v>
      </c>
      <c r="O24" s="377">
        <v>3908</v>
      </c>
      <c r="P24" s="377">
        <v>3869</v>
      </c>
      <c r="Q24" s="377">
        <v>3849</v>
      </c>
      <c r="R24" s="377">
        <v>3901</v>
      </c>
      <c r="S24" s="377">
        <v>3927</v>
      </c>
      <c r="T24" s="377">
        <v>3953</v>
      </c>
      <c r="U24" s="377">
        <v>3927</v>
      </c>
      <c r="V24" s="377">
        <v>3940</v>
      </c>
      <c r="W24" s="377">
        <v>3966</v>
      </c>
    </row>
    <row r="25" spans="1:29" ht="15">
      <c r="A25" s="1"/>
      <c r="B25" s="1"/>
      <c r="C25" s="1"/>
      <c r="D25" s="1"/>
      <c r="E25" s="1"/>
      <c r="F25" s="378"/>
      <c r="G25" s="934" t="s">
        <v>38</v>
      </c>
      <c r="H25" s="870"/>
      <c r="I25" s="379">
        <f t="shared" ref="I25:W25" si="10">SUM(I19:I24)</f>
        <v>50943</v>
      </c>
      <c r="J25" s="379">
        <f t="shared" si="10"/>
        <v>49807</v>
      </c>
      <c r="K25" s="380">
        <f t="shared" si="10"/>
        <v>49161</v>
      </c>
      <c r="L25" s="381">
        <f t="shared" si="10"/>
        <v>49331</v>
      </c>
      <c r="M25" s="382">
        <f t="shared" si="10"/>
        <v>48631</v>
      </c>
      <c r="N25" s="379">
        <f t="shared" si="10"/>
        <v>48437</v>
      </c>
      <c r="O25" s="379">
        <f t="shared" si="10"/>
        <v>48459</v>
      </c>
      <c r="P25" s="379">
        <f t="shared" si="10"/>
        <v>48448</v>
      </c>
      <c r="Q25" s="379">
        <f t="shared" si="10"/>
        <v>48936</v>
      </c>
      <c r="R25" s="379">
        <f t="shared" si="10"/>
        <v>49743</v>
      </c>
      <c r="S25" s="379">
        <f t="shared" si="10"/>
        <v>49751</v>
      </c>
      <c r="T25" s="379">
        <f t="shared" si="10"/>
        <v>49748</v>
      </c>
      <c r="U25" s="379">
        <f t="shared" si="10"/>
        <v>49507</v>
      </c>
      <c r="V25" s="379">
        <f t="shared" si="10"/>
        <v>49506</v>
      </c>
      <c r="W25" s="379">
        <f t="shared" si="10"/>
        <v>49908</v>
      </c>
    </row>
    <row r="26" spans="1:29" ht="15">
      <c r="A26" s="1"/>
      <c r="B26" s="1"/>
      <c r="C26" s="1"/>
      <c r="D26" s="1"/>
      <c r="E26" s="1"/>
      <c r="F26" s="3"/>
      <c r="G26" s="3"/>
      <c r="H26" s="3"/>
      <c r="I26" s="3"/>
      <c r="J26" s="314"/>
      <c r="K26" s="314"/>
      <c r="L26" s="314"/>
      <c r="M26" s="314"/>
      <c r="N26" s="3"/>
      <c r="O26" s="3"/>
      <c r="P26" s="3"/>
      <c r="Q26" s="3"/>
      <c r="R26" s="3"/>
      <c r="S26" s="3"/>
    </row>
    <row r="27" spans="1:29" ht="15" collapsed="1">
      <c r="A27" s="1"/>
      <c r="B27" s="1"/>
      <c r="C27" s="1"/>
      <c r="D27" s="1"/>
      <c r="E27" s="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9" ht="12.75" hidden="1" outlineLevel="1">
      <c r="A28" s="383"/>
      <c r="B28" s="383" t="s">
        <v>185</v>
      </c>
      <c r="C28" s="383" t="s">
        <v>219</v>
      </c>
      <c r="D28" s="383" t="s">
        <v>220</v>
      </c>
      <c r="E28" s="383"/>
      <c r="F28" s="935" t="s">
        <v>51</v>
      </c>
      <c r="G28" s="905"/>
      <c r="H28" s="869"/>
      <c r="I28" s="384" t="s">
        <v>20</v>
      </c>
      <c r="J28" s="385" t="s">
        <v>21</v>
      </c>
      <c r="K28" s="385" t="s">
        <v>22</v>
      </c>
      <c r="L28" s="386" t="s">
        <v>23</v>
      </c>
      <c r="M28" s="384" t="s">
        <v>179</v>
      </c>
      <c r="N28" s="384" t="s">
        <v>25</v>
      </c>
      <c r="O28" s="384" t="s">
        <v>14</v>
      </c>
      <c r="P28" s="384" t="s">
        <v>15</v>
      </c>
      <c r="Q28" s="384" t="s">
        <v>16</v>
      </c>
      <c r="R28" s="384" t="s">
        <v>17</v>
      </c>
      <c r="S28" s="384" t="s">
        <v>18</v>
      </c>
      <c r="T28" s="384" t="s">
        <v>19</v>
      </c>
      <c r="U28" s="384" t="s">
        <v>20</v>
      </c>
      <c r="V28" s="384" t="s">
        <v>21</v>
      </c>
      <c r="W28" s="384" t="s">
        <v>22</v>
      </c>
    </row>
    <row r="29" spans="1:29" ht="14.25" hidden="1" outlineLevel="1">
      <c r="A29" s="387">
        <v>66530</v>
      </c>
      <c r="B29" s="388" t="e">
        <f t="shared" ref="B29:B34" si="11">SUMIF(#REF!,E29,#REF!)</f>
        <v>#REF!</v>
      </c>
      <c r="C29" s="388" t="s">
        <v>676</v>
      </c>
      <c r="D29" s="149">
        <v>5760</v>
      </c>
      <c r="E29" s="149">
        <v>1976000</v>
      </c>
      <c r="F29" s="937"/>
      <c r="G29" s="929" t="s">
        <v>27</v>
      </c>
      <c r="H29" s="390">
        <v>1</v>
      </c>
      <c r="I29" s="144">
        <v>65764</v>
      </c>
      <c r="J29" s="116">
        <v>75367</v>
      </c>
      <c r="K29" s="116">
        <v>66530</v>
      </c>
      <c r="L29" s="233">
        <f t="shared" ref="L29:W29" si="12">K29+L7-L19</f>
        <v>63467</v>
      </c>
      <c r="M29" s="144">
        <f t="shared" si="12"/>
        <v>54754</v>
      </c>
      <c r="N29" s="144">
        <f t="shared" si="12"/>
        <v>46128</v>
      </c>
      <c r="O29" s="144">
        <f t="shared" si="12"/>
        <v>37588</v>
      </c>
      <c r="P29" s="144">
        <f t="shared" si="12"/>
        <v>31971</v>
      </c>
      <c r="Q29" s="144">
        <f t="shared" si="12"/>
        <v>23389</v>
      </c>
      <c r="R29" s="144">
        <f t="shared" si="12"/>
        <v>31339</v>
      </c>
      <c r="S29" s="144">
        <f t="shared" si="12"/>
        <v>22498</v>
      </c>
      <c r="T29" s="144">
        <f t="shared" si="12"/>
        <v>13612</v>
      </c>
      <c r="U29" s="144">
        <f t="shared" si="12"/>
        <v>4815</v>
      </c>
      <c r="V29" s="144">
        <f t="shared" si="12"/>
        <v>-3850</v>
      </c>
      <c r="W29" s="144">
        <f t="shared" si="12"/>
        <v>-12602</v>
      </c>
      <c r="X29" s="118"/>
    </row>
    <row r="30" spans="1:29" ht="14.25" hidden="1" outlineLevel="1">
      <c r="A30" s="387">
        <v>69360</v>
      </c>
      <c r="B30" s="388" t="e">
        <f t="shared" si="11"/>
        <v>#REF!</v>
      </c>
      <c r="C30" s="388" t="s">
        <v>676</v>
      </c>
      <c r="D30" s="391">
        <v>14976</v>
      </c>
      <c r="E30" s="149">
        <v>1977000</v>
      </c>
      <c r="F30" s="865"/>
      <c r="G30" s="884"/>
      <c r="H30" s="390">
        <v>2</v>
      </c>
      <c r="I30" s="144">
        <v>55465</v>
      </c>
      <c r="J30" s="116">
        <v>75543</v>
      </c>
      <c r="K30" s="116">
        <v>69360</v>
      </c>
      <c r="L30" s="233">
        <f t="shared" ref="L30:W30" si="13">K30+L8-L20</f>
        <v>76603</v>
      </c>
      <c r="M30" s="144">
        <f t="shared" si="13"/>
        <v>66922</v>
      </c>
      <c r="N30" s="144">
        <f t="shared" si="13"/>
        <v>57386</v>
      </c>
      <c r="O30" s="144">
        <f t="shared" si="13"/>
        <v>47898</v>
      </c>
      <c r="P30" s="144">
        <f t="shared" si="13"/>
        <v>48154</v>
      </c>
      <c r="Q30" s="144">
        <f t="shared" si="13"/>
        <v>38523</v>
      </c>
      <c r="R30" s="144">
        <f t="shared" si="13"/>
        <v>37340</v>
      </c>
      <c r="S30" s="144">
        <f t="shared" si="13"/>
        <v>27647</v>
      </c>
      <c r="T30" s="144">
        <f t="shared" si="13"/>
        <v>18019</v>
      </c>
      <c r="U30" s="144">
        <f t="shared" si="13"/>
        <v>8455</v>
      </c>
      <c r="V30" s="144">
        <f t="shared" si="13"/>
        <v>-1077</v>
      </c>
      <c r="W30" s="144">
        <f t="shared" si="13"/>
        <v>-10672</v>
      </c>
      <c r="X30" s="118"/>
    </row>
    <row r="31" spans="1:29" ht="14.25" hidden="1" outlineLevel="1">
      <c r="A31" s="387">
        <v>35399</v>
      </c>
      <c r="B31" s="388" t="e">
        <f t="shared" si="11"/>
        <v>#REF!</v>
      </c>
      <c r="C31" s="388" t="s">
        <v>676</v>
      </c>
      <c r="D31" s="149">
        <v>4608</v>
      </c>
      <c r="E31" s="149">
        <v>1978000</v>
      </c>
      <c r="F31" s="865"/>
      <c r="G31" s="885"/>
      <c r="H31" s="392">
        <v>3</v>
      </c>
      <c r="I31" s="144">
        <v>10635</v>
      </c>
      <c r="J31" s="116">
        <v>32258</v>
      </c>
      <c r="K31" s="116">
        <v>35399</v>
      </c>
      <c r="L31" s="233">
        <f t="shared" ref="L31:W31" si="14">K31+L9-L21</f>
        <v>31876</v>
      </c>
      <c r="M31" s="144">
        <f t="shared" si="14"/>
        <v>28495</v>
      </c>
      <c r="N31" s="144">
        <f t="shared" si="14"/>
        <v>25148</v>
      </c>
      <c r="O31" s="144">
        <f t="shared" si="14"/>
        <v>21835</v>
      </c>
      <c r="P31" s="144">
        <f t="shared" si="14"/>
        <v>18505</v>
      </c>
      <c r="Q31" s="144">
        <f t="shared" si="14"/>
        <v>15142</v>
      </c>
      <c r="R31" s="144">
        <f t="shared" si="14"/>
        <v>11745</v>
      </c>
      <c r="S31" s="144">
        <f t="shared" si="14"/>
        <v>8371</v>
      </c>
      <c r="T31" s="144">
        <f t="shared" si="14"/>
        <v>5031</v>
      </c>
      <c r="U31" s="144">
        <f t="shared" si="14"/>
        <v>1702</v>
      </c>
      <c r="V31" s="144">
        <f t="shared" si="14"/>
        <v>-1638</v>
      </c>
      <c r="W31" s="144">
        <f t="shared" si="14"/>
        <v>-5001</v>
      </c>
      <c r="X31" s="118"/>
    </row>
    <row r="32" spans="1:29" ht="14.25" hidden="1" outlineLevel="1">
      <c r="A32" s="387">
        <v>30069</v>
      </c>
      <c r="B32" s="388" t="e">
        <f t="shared" si="11"/>
        <v>#REF!</v>
      </c>
      <c r="C32" s="388" t="s">
        <v>676</v>
      </c>
      <c r="D32" s="149"/>
      <c r="E32" s="149">
        <v>2352000</v>
      </c>
      <c r="F32" s="865"/>
      <c r="G32" s="930" t="s">
        <v>32</v>
      </c>
      <c r="H32" s="393">
        <v>1</v>
      </c>
      <c r="I32" s="144">
        <v>23691</v>
      </c>
      <c r="J32" s="116">
        <v>40883</v>
      </c>
      <c r="K32" s="116">
        <v>30069</v>
      </c>
      <c r="L32" s="233">
        <f t="shared" ref="L32:W32" si="15">K32+L10-L22</f>
        <v>54162</v>
      </c>
      <c r="M32" s="144">
        <f t="shared" si="15"/>
        <v>52740</v>
      </c>
      <c r="N32" s="144">
        <f t="shared" si="15"/>
        <v>42499</v>
      </c>
      <c r="O32" s="144">
        <f t="shared" si="15"/>
        <v>62519</v>
      </c>
      <c r="P32" s="144">
        <f t="shared" si="15"/>
        <v>50552</v>
      </c>
      <c r="Q32" s="144">
        <f t="shared" si="15"/>
        <v>38346</v>
      </c>
      <c r="R32" s="144">
        <f t="shared" si="15"/>
        <v>42024</v>
      </c>
      <c r="S32" s="144">
        <f t="shared" si="15"/>
        <v>29450</v>
      </c>
      <c r="T32" s="144">
        <f t="shared" si="15"/>
        <v>16813</v>
      </c>
      <c r="U32" s="144">
        <f t="shared" si="15"/>
        <v>4302</v>
      </c>
      <c r="V32" s="144">
        <f t="shared" si="15"/>
        <v>-8272</v>
      </c>
      <c r="W32" s="144">
        <f t="shared" si="15"/>
        <v>-20896</v>
      </c>
      <c r="X32" s="118"/>
    </row>
    <row r="33" spans="1:24" ht="14.25" hidden="1" outlineLevel="1">
      <c r="A33" s="387">
        <v>49623</v>
      </c>
      <c r="B33" s="388" t="e">
        <f t="shared" si="11"/>
        <v>#REF!</v>
      </c>
      <c r="C33" s="388" t="s">
        <v>676</v>
      </c>
      <c r="D33" s="149"/>
      <c r="E33" s="149">
        <v>2353000</v>
      </c>
      <c r="F33" s="865"/>
      <c r="G33" s="884"/>
      <c r="H33" s="393">
        <v>2</v>
      </c>
      <c r="I33" s="144">
        <v>64523</v>
      </c>
      <c r="J33" s="116">
        <v>53429</v>
      </c>
      <c r="K33" s="116">
        <v>49623</v>
      </c>
      <c r="L33" s="233">
        <f t="shared" ref="L33:W33" si="16">K33+L11-L23</f>
        <v>47776</v>
      </c>
      <c r="M33" s="144">
        <f t="shared" si="16"/>
        <v>56606</v>
      </c>
      <c r="N33" s="144">
        <f t="shared" si="16"/>
        <v>46720</v>
      </c>
      <c r="O33" s="144">
        <f t="shared" si="16"/>
        <v>53022</v>
      </c>
      <c r="P33" s="144">
        <f t="shared" si="16"/>
        <v>50989</v>
      </c>
      <c r="Q33" s="144">
        <f t="shared" si="16"/>
        <v>39684</v>
      </c>
      <c r="R33" s="144">
        <f t="shared" si="16"/>
        <v>39786</v>
      </c>
      <c r="S33" s="144">
        <f t="shared" si="16"/>
        <v>28444</v>
      </c>
      <c r="T33" s="144">
        <f t="shared" si="16"/>
        <v>17140</v>
      </c>
      <c r="U33" s="144">
        <f t="shared" si="16"/>
        <v>5761</v>
      </c>
      <c r="V33" s="144">
        <f t="shared" si="16"/>
        <v>-5694</v>
      </c>
      <c r="W33" s="144">
        <f t="shared" si="16"/>
        <v>-17302</v>
      </c>
      <c r="X33" s="118"/>
    </row>
    <row r="34" spans="1:24" ht="14.25" hidden="1" outlineLevel="1">
      <c r="A34" s="387">
        <v>14991</v>
      </c>
      <c r="B34" s="388" t="e">
        <f t="shared" si="11"/>
        <v>#REF!</v>
      </c>
      <c r="C34" s="388" t="s">
        <v>676</v>
      </c>
      <c r="D34" s="149"/>
      <c r="E34" s="149">
        <v>2354000</v>
      </c>
      <c r="F34" s="865"/>
      <c r="G34" s="885"/>
      <c r="H34" s="394">
        <v>3</v>
      </c>
      <c r="I34" s="144">
        <v>14504</v>
      </c>
      <c r="J34" s="116">
        <v>19092</v>
      </c>
      <c r="K34" s="116">
        <v>14991</v>
      </c>
      <c r="L34" s="233">
        <f t="shared" ref="L34:W34" si="17">K34+L12-L24</f>
        <v>14633</v>
      </c>
      <c r="M34" s="144">
        <f t="shared" si="17"/>
        <v>19921</v>
      </c>
      <c r="N34" s="144">
        <f t="shared" si="17"/>
        <v>22714</v>
      </c>
      <c r="O34" s="144">
        <f t="shared" si="17"/>
        <v>24566</v>
      </c>
      <c r="P34" s="144">
        <f t="shared" si="17"/>
        <v>20697</v>
      </c>
      <c r="Q34" s="144">
        <f t="shared" si="17"/>
        <v>16848</v>
      </c>
      <c r="R34" s="144">
        <f t="shared" si="17"/>
        <v>12947</v>
      </c>
      <c r="S34" s="144">
        <f t="shared" si="17"/>
        <v>9020</v>
      </c>
      <c r="T34" s="144">
        <f t="shared" si="17"/>
        <v>5067</v>
      </c>
      <c r="U34" s="144">
        <f t="shared" si="17"/>
        <v>1140</v>
      </c>
      <c r="V34" s="144">
        <f t="shared" si="17"/>
        <v>-2800</v>
      </c>
      <c r="W34" s="144">
        <f t="shared" si="17"/>
        <v>-6766</v>
      </c>
      <c r="X34" s="118"/>
    </row>
    <row r="35" spans="1:24" ht="15" hidden="1" outlineLevel="1">
      <c r="A35" s="395">
        <f>SUM(A29:A34)</f>
        <v>265972</v>
      </c>
      <c r="B35" s="1"/>
      <c r="C35" s="1"/>
      <c r="D35" s="1"/>
      <c r="E35" s="1"/>
      <c r="F35" s="145"/>
      <c r="G35" s="877" t="s">
        <v>38</v>
      </c>
      <c r="H35" s="870"/>
      <c r="I35" s="396">
        <f t="shared" ref="I35:W35" si="18">SUM(I29:I34)</f>
        <v>234582</v>
      </c>
      <c r="J35" s="131">
        <f t="shared" si="18"/>
        <v>296572</v>
      </c>
      <c r="K35" s="131">
        <f t="shared" si="18"/>
        <v>265972</v>
      </c>
      <c r="L35" s="397">
        <f t="shared" si="18"/>
        <v>288517</v>
      </c>
      <c r="M35" s="396">
        <f t="shared" si="18"/>
        <v>279438</v>
      </c>
      <c r="N35" s="396">
        <f t="shared" si="18"/>
        <v>240595</v>
      </c>
      <c r="O35" s="396">
        <f t="shared" si="18"/>
        <v>247428</v>
      </c>
      <c r="P35" s="396">
        <f t="shared" si="18"/>
        <v>220868</v>
      </c>
      <c r="Q35" s="396">
        <f t="shared" si="18"/>
        <v>171932</v>
      </c>
      <c r="R35" s="398">
        <f t="shared" si="18"/>
        <v>175181</v>
      </c>
      <c r="S35" s="396">
        <f t="shared" si="18"/>
        <v>125430</v>
      </c>
      <c r="T35" s="396">
        <f t="shared" si="18"/>
        <v>75682</v>
      </c>
      <c r="U35" s="396">
        <f t="shared" si="18"/>
        <v>26175</v>
      </c>
      <c r="V35" s="396">
        <f t="shared" si="18"/>
        <v>-23331</v>
      </c>
      <c r="W35" s="396">
        <f t="shared" si="18"/>
        <v>-73239</v>
      </c>
    </row>
    <row r="36" spans="1:24" ht="15">
      <c r="A36" s="128"/>
      <c r="B36" s="1"/>
      <c r="C36" s="1"/>
      <c r="D36" s="1"/>
      <c r="E36" s="1"/>
      <c r="F36" s="1"/>
      <c r="G36" s="938"/>
      <c r="H36" s="905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"/>
    </row>
    <row r="37" spans="1:24" ht="15">
      <c r="A37" s="128"/>
      <c r="B37" s="1"/>
      <c r="C37" s="1"/>
      <c r="D37" s="1"/>
      <c r="E37" s="1"/>
      <c r="F37" s="400"/>
      <c r="G37" s="365"/>
      <c r="H37" s="365"/>
      <c r="I37" s="401"/>
      <c r="J37" s="399"/>
      <c r="K37" s="399"/>
      <c r="L37" s="399"/>
      <c r="M37" s="401"/>
      <c r="N37" s="399"/>
      <c r="O37" s="401"/>
      <c r="P37" s="399"/>
      <c r="Q37" s="401"/>
      <c r="R37" s="401"/>
      <c r="S37" s="3"/>
    </row>
    <row r="38" spans="1:24" ht="15">
      <c r="A38" s="128"/>
      <c r="B38" s="1"/>
      <c r="C38" s="1"/>
      <c r="D38" s="1"/>
      <c r="E38" s="1"/>
      <c r="F38" s="939" t="s">
        <v>56</v>
      </c>
      <c r="G38" s="862"/>
      <c r="H38" s="862"/>
      <c r="I38" s="402" t="s">
        <v>20</v>
      </c>
      <c r="J38" s="402" t="s">
        <v>21</v>
      </c>
      <c r="K38" s="110" t="s">
        <v>22</v>
      </c>
      <c r="L38" s="403" t="s">
        <v>23</v>
      </c>
      <c r="M38" s="404" t="s">
        <v>24</v>
      </c>
      <c r="N38" s="402" t="s">
        <v>25</v>
      </c>
      <c r="O38" s="402" t="s">
        <v>14</v>
      </c>
      <c r="P38" s="402" t="s">
        <v>15</v>
      </c>
      <c r="Q38" s="402" t="s">
        <v>16</v>
      </c>
      <c r="R38" s="402" t="s">
        <v>17</v>
      </c>
      <c r="S38" s="113" t="s">
        <v>18</v>
      </c>
      <c r="T38" s="113" t="s">
        <v>19</v>
      </c>
      <c r="U38" s="113" t="s">
        <v>20</v>
      </c>
      <c r="V38" s="113" t="s">
        <v>21</v>
      </c>
      <c r="W38" s="113" t="s">
        <v>22</v>
      </c>
    </row>
    <row r="39" spans="1:24" ht="15">
      <c r="A39" s="128"/>
      <c r="B39" s="1"/>
      <c r="C39" s="1"/>
      <c r="D39" s="1"/>
      <c r="E39" s="1"/>
      <c r="F39" s="937"/>
      <c r="G39" s="936" t="s">
        <v>27</v>
      </c>
      <c r="H39" s="405">
        <v>1</v>
      </c>
      <c r="I39" s="406">
        <f t="shared" ref="I39:W39" si="19">I29/I19</f>
        <v>7.7716851808083192</v>
      </c>
      <c r="J39" s="406">
        <f t="shared" si="19"/>
        <v>8.9765364459266319</v>
      </c>
      <c r="K39" s="136">
        <f t="shared" si="19"/>
        <v>7.77038075216071</v>
      </c>
      <c r="L39" s="407">
        <f t="shared" si="19"/>
        <v>7.1803371422106572</v>
      </c>
      <c r="M39" s="408">
        <f t="shared" si="19"/>
        <v>6.2841730747159419</v>
      </c>
      <c r="N39" s="406">
        <f t="shared" si="19"/>
        <v>5.347553906793415</v>
      </c>
      <c r="O39" s="406">
        <f t="shared" si="19"/>
        <v>4.4014051522248243</v>
      </c>
      <c r="P39" s="406">
        <f t="shared" si="19"/>
        <v>3.7626221019183239</v>
      </c>
      <c r="Q39" s="406">
        <f t="shared" si="19"/>
        <v>2.7253553950128175</v>
      </c>
      <c r="R39" s="406">
        <f t="shared" si="19"/>
        <v>3.5799634452821567</v>
      </c>
      <c r="S39" s="406">
        <f t="shared" si="19"/>
        <v>2.5447347585114808</v>
      </c>
      <c r="T39" s="406">
        <f t="shared" si="19"/>
        <v>1.5318478505514292</v>
      </c>
      <c r="U39" s="406">
        <f t="shared" si="19"/>
        <v>0.5473456860293282</v>
      </c>
      <c r="V39" s="406">
        <f t="shared" si="19"/>
        <v>-0.44431621465666477</v>
      </c>
      <c r="W39" s="406">
        <f t="shared" si="19"/>
        <v>-1.4398994515539305</v>
      </c>
    </row>
    <row r="40" spans="1:24" ht="15">
      <c r="A40" s="128"/>
      <c r="B40" s="1"/>
      <c r="C40" s="1"/>
      <c r="D40" s="1"/>
      <c r="E40" s="1"/>
      <c r="F40" s="865"/>
      <c r="G40" s="865"/>
      <c r="H40" s="405">
        <v>2</v>
      </c>
      <c r="I40" s="406">
        <f t="shared" ref="I40:W40" si="20">I30/I20</f>
        <v>4.6984328674290552</v>
      </c>
      <c r="J40" s="406">
        <f t="shared" si="20"/>
        <v>6.6376416835076002</v>
      </c>
      <c r="K40" s="136">
        <f t="shared" si="20"/>
        <v>6.5403111739745405</v>
      </c>
      <c r="L40" s="407">
        <f t="shared" si="20"/>
        <v>7.8414371993039209</v>
      </c>
      <c r="M40" s="408">
        <f t="shared" si="20"/>
        <v>6.9127156285507692</v>
      </c>
      <c r="N40" s="406">
        <f t="shared" si="20"/>
        <v>6.0178271812080535</v>
      </c>
      <c r="O40" s="406">
        <f t="shared" si="20"/>
        <v>5.0482715008431702</v>
      </c>
      <c r="P40" s="406">
        <f t="shared" si="20"/>
        <v>5.0497063758389258</v>
      </c>
      <c r="Q40" s="406">
        <f t="shared" si="20"/>
        <v>3.9998961686221577</v>
      </c>
      <c r="R40" s="406">
        <f t="shared" si="20"/>
        <v>3.8012827038582917</v>
      </c>
      <c r="S40" s="406">
        <f t="shared" si="20"/>
        <v>2.8522645207881978</v>
      </c>
      <c r="T40" s="406">
        <f t="shared" si="20"/>
        <v>1.8715205650186955</v>
      </c>
      <c r="U40" s="406">
        <f t="shared" si="20"/>
        <v>0.88404433291509832</v>
      </c>
      <c r="V40" s="406">
        <f t="shared" si="20"/>
        <v>-0.11298783046579941</v>
      </c>
      <c r="W40" s="406">
        <f t="shared" si="20"/>
        <v>-1.1122459614382492</v>
      </c>
    </row>
    <row r="41" spans="1:24" ht="15">
      <c r="A41" s="128"/>
      <c r="B41" s="1"/>
      <c r="C41" s="1"/>
      <c r="D41" s="1"/>
      <c r="E41" s="1"/>
      <c r="F41" s="865"/>
      <c r="G41" s="866"/>
      <c r="H41" s="405">
        <v>3</v>
      </c>
      <c r="I41" s="406">
        <f t="shared" ref="I41:W41" si="21">I31/I21</f>
        <v>2.8322237017310252</v>
      </c>
      <c r="J41" s="406">
        <f t="shared" si="21"/>
        <v>9.2218410520297311</v>
      </c>
      <c r="K41" s="136">
        <f t="shared" si="21"/>
        <v>9.8330555555555552</v>
      </c>
      <c r="L41" s="407">
        <f t="shared" si="21"/>
        <v>9.0479704797047962</v>
      </c>
      <c r="M41" s="408">
        <f t="shared" si="21"/>
        <v>8.4279798876072167</v>
      </c>
      <c r="N41" s="406">
        <f t="shared" si="21"/>
        <v>7.51359426351957</v>
      </c>
      <c r="O41" s="406">
        <f t="shared" si="21"/>
        <v>6.5907032900694231</v>
      </c>
      <c r="P41" s="406">
        <f t="shared" si="21"/>
        <v>5.5570570570570572</v>
      </c>
      <c r="Q41" s="406">
        <f t="shared" si="21"/>
        <v>4.5025275052036875</v>
      </c>
      <c r="R41" s="406">
        <f t="shared" si="21"/>
        <v>3.4574624668825433</v>
      </c>
      <c r="S41" s="406">
        <f t="shared" si="21"/>
        <v>2.4810314167160641</v>
      </c>
      <c r="T41" s="406">
        <f t="shared" si="21"/>
        <v>1.5062874251497007</v>
      </c>
      <c r="U41" s="406">
        <f t="shared" si="21"/>
        <v>0.51126464403724847</v>
      </c>
      <c r="V41" s="406">
        <f t="shared" si="21"/>
        <v>-0.49041916167664673</v>
      </c>
      <c r="W41" s="406">
        <f t="shared" si="21"/>
        <v>-1.4870651204281891</v>
      </c>
    </row>
    <row r="42" spans="1:24" ht="15">
      <c r="A42" s="1"/>
      <c r="B42" s="1"/>
      <c r="C42" s="1"/>
      <c r="D42" s="1"/>
      <c r="E42" s="1"/>
      <c r="F42" s="865"/>
      <c r="G42" s="930" t="s">
        <v>32</v>
      </c>
      <c r="H42" s="393">
        <v>1</v>
      </c>
      <c r="I42" s="406">
        <f t="shared" ref="I42:W42" si="22">I32/I22</f>
        <v>1.9139602520601067</v>
      </c>
      <c r="J42" s="406">
        <f t="shared" si="22"/>
        <v>3.4163115233558954</v>
      </c>
      <c r="K42" s="136">
        <f t="shared" si="22"/>
        <v>2.5669284616697969</v>
      </c>
      <c r="L42" s="407">
        <f t="shared" si="22"/>
        <v>4.5214124718256947</v>
      </c>
      <c r="M42" s="408">
        <f t="shared" si="22"/>
        <v>4.4732824427480917</v>
      </c>
      <c r="N42" s="406">
        <f t="shared" si="22"/>
        <v>3.6227943056857899</v>
      </c>
      <c r="O42" s="406">
        <f t="shared" si="22"/>
        <v>5.2767555705604323</v>
      </c>
      <c r="P42" s="406">
        <f t="shared" si="22"/>
        <v>4.2242834461435619</v>
      </c>
      <c r="Q42" s="406">
        <f t="shared" si="22"/>
        <v>3.1415697198099295</v>
      </c>
      <c r="R42" s="406">
        <f t="shared" si="22"/>
        <v>3.3754216867469879</v>
      </c>
      <c r="S42" s="406">
        <f t="shared" si="22"/>
        <v>2.3421345633847621</v>
      </c>
      <c r="T42" s="406">
        <f t="shared" si="22"/>
        <v>1.3304581783651184</v>
      </c>
      <c r="U42" s="406">
        <f t="shared" si="22"/>
        <v>0.34385740548317478</v>
      </c>
      <c r="V42" s="406">
        <f t="shared" si="22"/>
        <v>-0.65786543661523778</v>
      </c>
      <c r="W42" s="406">
        <f t="shared" si="22"/>
        <v>-1.6552598225602029</v>
      </c>
    </row>
    <row r="43" spans="1:24" ht="15">
      <c r="A43" s="1"/>
      <c r="B43" s="1"/>
      <c r="C43" s="1"/>
      <c r="D43" s="1"/>
      <c r="E43" s="1"/>
      <c r="F43" s="865"/>
      <c r="G43" s="884"/>
      <c r="H43" s="393">
        <v>2</v>
      </c>
      <c r="I43" s="406">
        <f t="shared" ref="I43:W43" si="23">I33/I23</f>
        <v>6.3657261247040253</v>
      </c>
      <c r="J43" s="406">
        <f t="shared" si="23"/>
        <v>5.0130418465002817</v>
      </c>
      <c r="K43" s="136">
        <f t="shared" si="23"/>
        <v>4.6199608974955773</v>
      </c>
      <c r="L43" s="407">
        <f t="shared" si="23"/>
        <v>4.2074856891237342</v>
      </c>
      <c r="M43" s="408">
        <f t="shared" si="23"/>
        <v>5.082240976836057</v>
      </c>
      <c r="N43" s="406">
        <f t="shared" si="23"/>
        <v>4.1528888888888886</v>
      </c>
      <c r="O43" s="406">
        <f t="shared" si="23"/>
        <v>4.6666079915507837</v>
      </c>
      <c r="P43" s="406">
        <f t="shared" si="23"/>
        <v>4.5327584674193258</v>
      </c>
      <c r="Q43" s="406">
        <f t="shared" si="23"/>
        <v>3.5103051747014598</v>
      </c>
      <c r="R43" s="406">
        <f t="shared" si="23"/>
        <v>3.4844981607987386</v>
      </c>
      <c r="S43" s="406">
        <f t="shared" si="23"/>
        <v>2.5078469405748547</v>
      </c>
      <c r="T43" s="406">
        <f t="shared" si="23"/>
        <v>1.5162774239207359</v>
      </c>
      <c r="U43" s="406">
        <f t="shared" si="23"/>
        <v>0.50628350470164341</v>
      </c>
      <c r="V43" s="406">
        <f t="shared" si="23"/>
        <v>-0.49707551287647317</v>
      </c>
      <c r="W43" s="406">
        <f t="shared" si="23"/>
        <v>-1.4905237767057202</v>
      </c>
    </row>
    <row r="44" spans="1:24" ht="15">
      <c r="A44" s="1"/>
      <c r="B44" s="1"/>
      <c r="C44" s="1"/>
      <c r="D44" s="1"/>
      <c r="E44" s="1"/>
      <c r="F44" s="865"/>
      <c r="G44" s="885"/>
      <c r="H44" s="394">
        <v>3</v>
      </c>
      <c r="I44" s="406">
        <f t="shared" ref="I44:W44" si="24">I34/I24</f>
        <v>3.2911277513047423</v>
      </c>
      <c r="J44" s="406">
        <f t="shared" si="24"/>
        <v>4.8866137701561296</v>
      </c>
      <c r="K44" s="136">
        <f t="shared" si="24"/>
        <v>3.8057882711348059</v>
      </c>
      <c r="L44" s="407">
        <f t="shared" si="24"/>
        <v>3.7850491464045524</v>
      </c>
      <c r="M44" s="408">
        <f t="shared" si="24"/>
        <v>5.071537678207739</v>
      </c>
      <c r="N44" s="406">
        <f t="shared" si="24"/>
        <v>5.7547504433747152</v>
      </c>
      <c r="O44" s="406">
        <f t="shared" si="24"/>
        <v>6.2860798362333679</v>
      </c>
      <c r="P44" s="406">
        <f t="shared" si="24"/>
        <v>5.3494443008529338</v>
      </c>
      <c r="Q44" s="406">
        <f t="shared" si="24"/>
        <v>4.3772408417770849</v>
      </c>
      <c r="R44" s="406">
        <f t="shared" si="24"/>
        <v>3.3188925916431686</v>
      </c>
      <c r="S44" s="406">
        <f t="shared" si="24"/>
        <v>2.2969187675070026</v>
      </c>
      <c r="T44" s="406">
        <f t="shared" si="24"/>
        <v>1.2818112825701999</v>
      </c>
      <c r="U44" s="406">
        <f t="shared" si="24"/>
        <v>0.2902979373567609</v>
      </c>
      <c r="V44" s="406">
        <f t="shared" si="24"/>
        <v>-0.71065989847715738</v>
      </c>
      <c r="W44" s="406">
        <f t="shared" si="24"/>
        <v>-1.7060010085728694</v>
      </c>
    </row>
    <row r="45" spans="1:24" ht="15">
      <c r="A45" s="1"/>
      <c r="B45" s="1"/>
      <c r="C45" s="1"/>
      <c r="D45" s="1"/>
      <c r="E45" s="1"/>
      <c r="F45" s="145"/>
      <c r="G45" s="877" t="s">
        <v>38</v>
      </c>
      <c r="H45" s="870"/>
      <c r="I45" s="409">
        <f t="shared" ref="I45:W45" si="25">AVERAGE(I39:I44)</f>
        <v>4.478859313006212</v>
      </c>
      <c r="J45" s="409">
        <f t="shared" si="25"/>
        <v>6.3586643869127117</v>
      </c>
      <c r="K45" s="146">
        <f t="shared" si="25"/>
        <v>5.8560708519984983</v>
      </c>
      <c r="L45" s="410">
        <f t="shared" si="25"/>
        <v>6.0972820214288923</v>
      </c>
      <c r="M45" s="411">
        <f t="shared" si="25"/>
        <v>6.0419882814443033</v>
      </c>
      <c r="N45" s="409">
        <f t="shared" si="25"/>
        <v>5.4015681649117395</v>
      </c>
      <c r="O45" s="409">
        <f t="shared" si="25"/>
        <v>5.3783038902470004</v>
      </c>
      <c r="P45" s="409">
        <f t="shared" si="25"/>
        <v>4.7459786248716878</v>
      </c>
      <c r="Q45" s="409">
        <f t="shared" si="25"/>
        <v>3.7094824675211893</v>
      </c>
      <c r="R45" s="409">
        <f t="shared" si="25"/>
        <v>3.5029201758686477</v>
      </c>
      <c r="S45" s="409">
        <f t="shared" si="25"/>
        <v>2.5041551612470605</v>
      </c>
      <c r="T45" s="409">
        <f t="shared" si="25"/>
        <v>1.506367120929313</v>
      </c>
      <c r="U45" s="409">
        <f t="shared" si="25"/>
        <v>0.51384891842054237</v>
      </c>
      <c r="V45" s="409">
        <f t="shared" si="25"/>
        <v>-0.48555400912799646</v>
      </c>
      <c r="W45" s="409">
        <f t="shared" si="25"/>
        <v>-1.4818325235431935</v>
      </c>
    </row>
    <row r="46" spans="1:24" ht="15">
      <c r="A46" s="1"/>
      <c r="B46" s="1"/>
      <c r="C46" s="1"/>
      <c r="D46" s="1"/>
      <c r="E46" s="1"/>
      <c r="F46" s="1"/>
      <c r="G46" s="3"/>
      <c r="H46" s="3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"/>
    </row>
    <row r="47" spans="1:24" ht="15">
      <c r="A47" s="1"/>
      <c r="B47" s="1"/>
      <c r="C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24" ht="15">
      <c r="A48" s="1"/>
      <c r="B48" s="1"/>
      <c r="C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</sheetData>
  <mergeCells count="24">
    <mergeCell ref="G45:H45"/>
    <mergeCell ref="F28:H28"/>
    <mergeCell ref="G39:G41"/>
    <mergeCell ref="G42:G44"/>
    <mergeCell ref="F29:F34"/>
    <mergeCell ref="G29:G31"/>
    <mergeCell ref="G32:G34"/>
    <mergeCell ref="G35:H35"/>
    <mergeCell ref="G36:H36"/>
    <mergeCell ref="F38:H38"/>
    <mergeCell ref="F39:F44"/>
    <mergeCell ref="F18:H18"/>
    <mergeCell ref="F19:F24"/>
    <mergeCell ref="G19:G21"/>
    <mergeCell ref="G22:G24"/>
    <mergeCell ref="G25:H25"/>
    <mergeCell ref="F5:H5"/>
    <mergeCell ref="F6:H6"/>
    <mergeCell ref="F7:F15"/>
    <mergeCell ref="G7:G9"/>
    <mergeCell ref="G10:G12"/>
    <mergeCell ref="G13:H13"/>
    <mergeCell ref="G14:H14"/>
    <mergeCell ref="G15:H15"/>
  </mergeCells>
  <phoneticPr fontId="86" type="noConversion"/>
  <conditionalFormatting sqref="I29:W34">
    <cfRule type="cellIs" dxfId="16" priority="1" operator="lessThan">
      <formula>0</formula>
    </cfRule>
  </conditionalFormatting>
  <conditionalFormatting sqref="I39:W44">
    <cfRule type="colorScale" priority="2">
      <colorScale>
        <cfvo type="formula" val="3"/>
        <cfvo type="formula" val="20"/>
        <color rgb="FFFFFFFF"/>
        <color rgb="FFE67C73"/>
      </colorScale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4CCCC"/>
    <outlinePr summaryBelow="0" summaryRight="0"/>
  </sheetPr>
  <dimension ref="A1:H89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19.140625" customWidth="1"/>
    <col min="2" max="2" width="15" customWidth="1"/>
    <col min="3" max="3" width="37.7109375" customWidth="1"/>
    <col min="9" max="19" width="12.5703125" customWidth="1"/>
  </cols>
  <sheetData>
    <row r="1" spans="1:8" ht="15.75" customHeight="1">
      <c r="A1" s="336" t="s">
        <v>61</v>
      </c>
      <c r="B1" s="161" t="s">
        <v>62</v>
      </c>
      <c r="C1" s="161" t="s">
        <v>63</v>
      </c>
      <c r="D1" s="161" t="s">
        <v>64</v>
      </c>
      <c r="E1" s="161" t="s">
        <v>65</v>
      </c>
      <c r="F1" s="338" t="s">
        <v>66</v>
      </c>
      <c r="G1" s="338" t="s">
        <v>67</v>
      </c>
      <c r="H1" s="339" t="s">
        <v>68</v>
      </c>
    </row>
    <row r="2" spans="1:8" ht="15.75" customHeight="1">
      <c r="A2" s="340" t="s">
        <v>186</v>
      </c>
      <c r="B2" s="340">
        <v>20250138</v>
      </c>
      <c r="C2" s="340" t="s">
        <v>187</v>
      </c>
      <c r="D2" s="342">
        <v>480</v>
      </c>
      <c r="E2" s="342">
        <f t="shared" ref="E2:E103" si="0">MID(C2,SEARCH("x",C2)-2,2)*D2</f>
        <v>1920</v>
      </c>
      <c r="F2" s="344">
        <v>45750</v>
      </c>
      <c r="G2" s="344"/>
      <c r="H2" s="344"/>
    </row>
    <row r="3" spans="1:8" ht="15.75" customHeight="1">
      <c r="A3" s="340" t="s">
        <v>186</v>
      </c>
      <c r="B3" s="340">
        <v>20250465</v>
      </c>
      <c r="C3" s="340" t="s">
        <v>187</v>
      </c>
      <c r="D3" s="342">
        <v>384</v>
      </c>
      <c r="E3" s="342">
        <f t="shared" si="0"/>
        <v>1536</v>
      </c>
      <c r="F3" s="344">
        <v>45810</v>
      </c>
      <c r="G3" s="344"/>
      <c r="H3" s="344"/>
    </row>
    <row r="4" spans="1:8" ht="15.75" customHeight="1">
      <c r="A4" s="340" t="s">
        <v>186</v>
      </c>
      <c r="B4" s="354">
        <v>20250137</v>
      </c>
      <c r="C4" s="340" t="s">
        <v>188</v>
      </c>
      <c r="D4" s="342">
        <v>2400</v>
      </c>
      <c r="E4" s="342">
        <f t="shared" si="0"/>
        <v>9600</v>
      </c>
      <c r="F4" s="355">
        <v>45750</v>
      </c>
      <c r="G4" s="344"/>
      <c r="H4" s="355"/>
    </row>
    <row r="5" spans="1:8" ht="15.75" customHeight="1">
      <c r="A5" s="340" t="s">
        <v>186</v>
      </c>
      <c r="B5" s="354">
        <v>20250138</v>
      </c>
      <c r="C5" s="340" t="s">
        <v>188</v>
      </c>
      <c r="D5" s="342">
        <v>1536</v>
      </c>
      <c r="E5" s="342">
        <f t="shared" si="0"/>
        <v>6144</v>
      </c>
      <c r="F5" s="355">
        <v>45750</v>
      </c>
      <c r="G5" s="344"/>
      <c r="H5" s="355"/>
    </row>
    <row r="6" spans="1:8" ht="15.75" customHeight="1">
      <c r="A6" s="340" t="s">
        <v>189</v>
      </c>
      <c r="B6" s="340">
        <v>20250157</v>
      </c>
      <c r="C6" s="340" t="s">
        <v>190</v>
      </c>
      <c r="D6" s="342">
        <v>600</v>
      </c>
      <c r="E6" s="342">
        <f t="shared" si="0"/>
        <v>1800</v>
      </c>
      <c r="F6" s="355">
        <v>45750</v>
      </c>
      <c r="G6" s="344"/>
      <c r="H6" s="355"/>
    </row>
    <row r="7" spans="1:8" ht="15.75" customHeight="1">
      <c r="A7" s="340" t="s">
        <v>189</v>
      </c>
      <c r="B7" s="340">
        <v>20250158</v>
      </c>
      <c r="C7" s="340" t="s">
        <v>190</v>
      </c>
      <c r="D7" s="342">
        <v>1408</v>
      </c>
      <c r="E7" s="342">
        <f t="shared" si="0"/>
        <v>4224</v>
      </c>
      <c r="F7" s="355">
        <v>45750</v>
      </c>
      <c r="G7" s="344"/>
      <c r="H7" s="355"/>
    </row>
    <row r="8" spans="1:8" ht="15.75" customHeight="1">
      <c r="A8" s="340" t="s">
        <v>189</v>
      </c>
      <c r="B8" s="340">
        <v>20250157</v>
      </c>
      <c r="C8" s="340" t="s">
        <v>191</v>
      </c>
      <c r="D8" s="342">
        <v>2391</v>
      </c>
      <c r="E8" s="342">
        <f t="shared" si="0"/>
        <v>7173</v>
      </c>
      <c r="F8" s="355">
        <v>45750</v>
      </c>
      <c r="G8" s="344"/>
      <c r="H8" s="355"/>
    </row>
    <row r="9" spans="1:8" ht="15.75" customHeight="1">
      <c r="A9" s="340" t="s">
        <v>192</v>
      </c>
      <c r="B9" s="340">
        <v>20250465</v>
      </c>
      <c r="C9" s="340" t="s">
        <v>187</v>
      </c>
      <c r="D9" s="342">
        <v>774</v>
      </c>
      <c r="E9" s="342">
        <f t="shared" si="0"/>
        <v>3096</v>
      </c>
      <c r="F9" s="355">
        <v>45810</v>
      </c>
      <c r="G9" s="344"/>
      <c r="H9" s="355"/>
    </row>
    <row r="10" spans="1:8" ht="15.75" customHeight="1">
      <c r="A10" s="340" t="s">
        <v>192</v>
      </c>
      <c r="B10" s="340">
        <v>20250465</v>
      </c>
      <c r="C10" s="340" t="s">
        <v>188</v>
      </c>
      <c r="D10" s="342">
        <v>672</v>
      </c>
      <c r="E10" s="342">
        <f t="shared" si="0"/>
        <v>2688</v>
      </c>
      <c r="F10" s="344">
        <v>45810</v>
      </c>
      <c r="G10" s="344"/>
      <c r="H10" s="344"/>
    </row>
    <row r="11" spans="1:8" ht="15.75" customHeight="1">
      <c r="A11" s="340" t="s">
        <v>192</v>
      </c>
      <c r="B11" s="340">
        <v>20250465</v>
      </c>
      <c r="C11" s="340" t="s">
        <v>193</v>
      </c>
      <c r="D11" s="342">
        <v>288</v>
      </c>
      <c r="E11" s="342">
        <f t="shared" si="0"/>
        <v>1152</v>
      </c>
      <c r="F11" s="344">
        <v>45810</v>
      </c>
      <c r="G11" s="344"/>
      <c r="H11" s="344"/>
    </row>
    <row r="12" spans="1:8" ht="15.75" customHeight="1">
      <c r="A12" s="340" t="s">
        <v>192</v>
      </c>
      <c r="B12" s="340">
        <v>20250493</v>
      </c>
      <c r="C12" s="340" t="s">
        <v>194</v>
      </c>
      <c r="D12" s="342">
        <v>672</v>
      </c>
      <c r="E12" s="342">
        <f t="shared" si="0"/>
        <v>2688</v>
      </c>
      <c r="F12" s="344">
        <v>45790</v>
      </c>
      <c r="G12" s="344"/>
      <c r="H12" s="344"/>
    </row>
    <row r="13" spans="1:8" ht="15.75" customHeight="1">
      <c r="A13" s="340" t="s">
        <v>85</v>
      </c>
      <c r="B13" s="340">
        <v>20250449</v>
      </c>
      <c r="C13" s="340" t="s">
        <v>195</v>
      </c>
      <c r="D13" s="342">
        <v>90</v>
      </c>
      <c r="E13" s="342">
        <f t="shared" si="0"/>
        <v>540</v>
      </c>
      <c r="F13" s="344">
        <v>45790</v>
      </c>
      <c r="G13" s="344"/>
      <c r="H13" s="344"/>
    </row>
    <row r="14" spans="1:8" ht="15.75" customHeight="1">
      <c r="A14" s="340" t="s">
        <v>85</v>
      </c>
      <c r="B14" s="340">
        <v>20250449</v>
      </c>
      <c r="C14" s="340" t="s">
        <v>196</v>
      </c>
      <c r="D14" s="342">
        <v>1825</v>
      </c>
      <c r="E14" s="342">
        <f t="shared" si="0"/>
        <v>7300</v>
      </c>
      <c r="F14" s="344">
        <v>45790</v>
      </c>
      <c r="G14" s="344"/>
      <c r="H14" s="344"/>
    </row>
    <row r="15" spans="1:8" ht="15.75" customHeight="1">
      <c r="A15" s="340" t="s">
        <v>85</v>
      </c>
      <c r="B15" s="340">
        <v>20250450</v>
      </c>
      <c r="C15" s="340" t="s">
        <v>196</v>
      </c>
      <c r="D15" s="342">
        <v>90</v>
      </c>
      <c r="E15" s="342">
        <f t="shared" si="0"/>
        <v>360</v>
      </c>
      <c r="F15" s="344">
        <v>45810</v>
      </c>
      <c r="G15" s="344"/>
      <c r="H15" s="344"/>
    </row>
    <row r="16" spans="1:8" ht="15.75" customHeight="1">
      <c r="A16" s="340" t="s">
        <v>85</v>
      </c>
      <c r="B16" s="340">
        <v>20250449</v>
      </c>
      <c r="C16" s="340" t="s">
        <v>197</v>
      </c>
      <c r="D16" s="342">
        <v>1778</v>
      </c>
      <c r="E16" s="342">
        <f t="shared" si="0"/>
        <v>7112</v>
      </c>
      <c r="F16" s="344">
        <v>45790</v>
      </c>
      <c r="G16" s="344"/>
      <c r="H16" s="344"/>
    </row>
    <row r="17" spans="1:8" ht="15.75" customHeight="1">
      <c r="A17" s="340" t="s">
        <v>85</v>
      </c>
      <c r="B17" s="340">
        <v>20250450</v>
      </c>
      <c r="C17" s="340" t="s">
        <v>197</v>
      </c>
      <c r="D17" s="342">
        <v>90</v>
      </c>
      <c r="E17" s="342">
        <f t="shared" si="0"/>
        <v>360</v>
      </c>
      <c r="F17" s="344">
        <v>45810</v>
      </c>
      <c r="G17" s="344"/>
      <c r="H17" s="344"/>
    </row>
    <row r="18" spans="1:8" ht="15.75" customHeight="1">
      <c r="A18" s="340" t="s">
        <v>198</v>
      </c>
      <c r="B18" s="340">
        <v>20250441</v>
      </c>
      <c r="C18" s="340" t="s">
        <v>199</v>
      </c>
      <c r="D18" s="342">
        <v>84</v>
      </c>
      <c r="E18" s="342">
        <f t="shared" si="0"/>
        <v>2016</v>
      </c>
      <c r="F18" s="344">
        <v>45750</v>
      </c>
      <c r="G18" s="344"/>
      <c r="H18" s="344"/>
    </row>
    <row r="19" spans="1:8" ht="15.75" customHeight="1">
      <c r="A19" s="340" t="s">
        <v>200</v>
      </c>
      <c r="B19" s="340">
        <v>20250921</v>
      </c>
      <c r="C19" s="340" t="s">
        <v>187</v>
      </c>
      <c r="D19" s="342">
        <v>736</v>
      </c>
      <c r="E19" s="342">
        <f t="shared" si="0"/>
        <v>2944</v>
      </c>
      <c r="F19" s="344">
        <v>45844</v>
      </c>
      <c r="G19" s="344"/>
      <c r="H19" s="344"/>
    </row>
    <row r="20" spans="1:8" ht="15.75" customHeight="1">
      <c r="A20" s="340" t="s">
        <v>200</v>
      </c>
      <c r="B20" s="340">
        <v>20250815</v>
      </c>
      <c r="C20" s="340" t="s">
        <v>188</v>
      </c>
      <c r="D20" s="342">
        <v>1152</v>
      </c>
      <c r="E20" s="342">
        <f t="shared" si="0"/>
        <v>4608</v>
      </c>
      <c r="F20" s="344">
        <v>45790</v>
      </c>
      <c r="G20" s="344"/>
      <c r="H20" s="344"/>
    </row>
    <row r="21" spans="1:8" ht="15.75" customHeight="1">
      <c r="A21" s="340" t="s">
        <v>200</v>
      </c>
      <c r="B21" s="340">
        <v>20250921</v>
      </c>
      <c r="C21" s="340" t="s">
        <v>188</v>
      </c>
      <c r="D21" s="342">
        <v>768</v>
      </c>
      <c r="E21" s="342">
        <f t="shared" si="0"/>
        <v>3072</v>
      </c>
      <c r="F21" s="344">
        <v>45844</v>
      </c>
      <c r="G21" s="344"/>
      <c r="H21" s="344"/>
    </row>
    <row r="22" spans="1:8" ht="15.75" customHeight="1">
      <c r="A22" s="340" t="s">
        <v>200</v>
      </c>
      <c r="B22" s="340">
        <v>20250815</v>
      </c>
      <c r="C22" s="340" t="s">
        <v>193</v>
      </c>
      <c r="D22" s="342">
        <v>1056</v>
      </c>
      <c r="E22" s="342">
        <f t="shared" si="0"/>
        <v>4224</v>
      </c>
      <c r="F22" s="344">
        <v>45790</v>
      </c>
      <c r="G22" s="344"/>
      <c r="H22" s="344"/>
    </row>
    <row r="23" spans="1:8" ht="15.75" customHeight="1">
      <c r="A23" s="340" t="s">
        <v>200</v>
      </c>
      <c r="B23" s="340">
        <v>20250921</v>
      </c>
      <c r="C23" s="340" t="s">
        <v>193</v>
      </c>
      <c r="D23" s="342">
        <v>864</v>
      </c>
      <c r="E23" s="342">
        <f t="shared" si="0"/>
        <v>3456</v>
      </c>
      <c r="F23" s="344">
        <v>45844</v>
      </c>
      <c r="G23" s="344"/>
      <c r="H23" s="344"/>
    </row>
    <row r="24" spans="1:8" ht="15.75" customHeight="1">
      <c r="A24" s="340" t="s">
        <v>90</v>
      </c>
      <c r="B24" s="340">
        <v>20250883</v>
      </c>
      <c r="C24" s="340" t="s">
        <v>195</v>
      </c>
      <c r="D24" s="342">
        <v>90</v>
      </c>
      <c r="E24" s="342">
        <f t="shared" si="0"/>
        <v>540</v>
      </c>
      <c r="F24" s="344">
        <v>45845</v>
      </c>
      <c r="G24" s="344"/>
      <c r="H24" s="344"/>
    </row>
    <row r="25" spans="1:8" ht="15.75" customHeight="1">
      <c r="A25" s="340" t="s">
        <v>90</v>
      </c>
      <c r="B25" s="340">
        <v>20250899</v>
      </c>
      <c r="C25" s="340" t="s">
        <v>196</v>
      </c>
      <c r="D25" s="342">
        <v>1260</v>
      </c>
      <c r="E25" s="342">
        <f t="shared" si="0"/>
        <v>5040</v>
      </c>
      <c r="F25" s="344">
        <v>45896</v>
      </c>
      <c r="G25" s="344"/>
      <c r="H25" s="344"/>
    </row>
    <row r="26" spans="1:8" ht="15.75" customHeight="1">
      <c r="A26" s="340" t="s">
        <v>90</v>
      </c>
      <c r="B26" s="340">
        <v>20250883</v>
      </c>
      <c r="C26" s="340" t="s">
        <v>197</v>
      </c>
      <c r="D26" s="342">
        <v>1800</v>
      </c>
      <c r="E26" s="342">
        <f t="shared" si="0"/>
        <v>7200</v>
      </c>
      <c r="F26" s="344">
        <v>45845</v>
      </c>
      <c r="G26" s="344"/>
      <c r="H26" s="344"/>
    </row>
    <row r="27" spans="1:8" ht="15.75" customHeight="1">
      <c r="A27" s="340" t="s">
        <v>90</v>
      </c>
      <c r="B27" s="340">
        <v>20250899</v>
      </c>
      <c r="C27" s="340" t="s">
        <v>197</v>
      </c>
      <c r="D27" s="342">
        <v>465</v>
      </c>
      <c r="E27" s="342">
        <f t="shared" si="0"/>
        <v>1860</v>
      </c>
      <c r="F27" s="344">
        <v>45896</v>
      </c>
      <c r="G27" s="344"/>
      <c r="H27" s="344"/>
    </row>
    <row r="28" spans="1:8" ht="15.75" customHeight="1">
      <c r="A28" s="340" t="s">
        <v>94</v>
      </c>
      <c r="B28" s="340">
        <v>20250829</v>
      </c>
      <c r="C28" s="340" t="s">
        <v>199</v>
      </c>
      <c r="D28" s="342">
        <v>42</v>
      </c>
      <c r="E28" s="342">
        <f t="shared" si="0"/>
        <v>1008</v>
      </c>
      <c r="F28" s="344">
        <v>45825</v>
      </c>
      <c r="G28" s="344"/>
      <c r="H28" s="344"/>
    </row>
    <row r="29" spans="1:8" ht="15.75" customHeight="1">
      <c r="A29" s="340" t="s">
        <v>201</v>
      </c>
      <c r="B29" s="340">
        <v>20250958</v>
      </c>
      <c r="C29" s="340" t="s">
        <v>187</v>
      </c>
      <c r="D29" s="342">
        <v>480</v>
      </c>
      <c r="E29" s="342">
        <f t="shared" si="0"/>
        <v>1920</v>
      </c>
      <c r="F29" s="344">
        <v>45848</v>
      </c>
      <c r="G29" s="344"/>
      <c r="H29" s="344"/>
    </row>
    <row r="30" spans="1:8" ht="15.75" customHeight="1">
      <c r="A30" s="340" t="s">
        <v>201</v>
      </c>
      <c r="B30" s="340">
        <v>20251008</v>
      </c>
      <c r="C30" s="340" t="s">
        <v>187</v>
      </c>
      <c r="D30" s="342">
        <v>96</v>
      </c>
      <c r="E30" s="342">
        <f t="shared" si="0"/>
        <v>384</v>
      </c>
      <c r="F30" s="344">
        <v>45852</v>
      </c>
      <c r="G30" s="344"/>
      <c r="H30" s="344"/>
    </row>
    <row r="31" spans="1:8" ht="15.75" customHeight="1">
      <c r="A31" s="340" t="s">
        <v>201</v>
      </c>
      <c r="B31" s="340">
        <v>20251284</v>
      </c>
      <c r="C31" s="340" t="s">
        <v>187</v>
      </c>
      <c r="D31" s="342">
        <v>95</v>
      </c>
      <c r="E31" s="342">
        <f t="shared" si="0"/>
        <v>380</v>
      </c>
      <c r="F31" s="344">
        <v>45888</v>
      </c>
      <c r="G31" s="344"/>
      <c r="H31" s="344"/>
    </row>
    <row r="32" spans="1:8" ht="15.75" customHeight="1">
      <c r="A32" s="340" t="s">
        <v>201</v>
      </c>
      <c r="B32" s="340">
        <v>20251008</v>
      </c>
      <c r="C32" s="340" t="s">
        <v>188</v>
      </c>
      <c r="D32" s="342">
        <v>768</v>
      </c>
      <c r="E32" s="342">
        <f t="shared" si="0"/>
        <v>3072</v>
      </c>
      <c r="F32" s="344">
        <v>45852</v>
      </c>
      <c r="G32" s="344"/>
      <c r="H32" s="344"/>
    </row>
    <row r="33" spans="1:8" ht="15.75" customHeight="1">
      <c r="A33" s="340" t="s">
        <v>201</v>
      </c>
      <c r="B33" s="340">
        <v>20251007</v>
      </c>
      <c r="C33" s="340" t="s">
        <v>202</v>
      </c>
      <c r="D33" s="342">
        <v>2400</v>
      </c>
      <c r="E33" s="342">
        <f t="shared" si="0"/>
        <v>9600</v>
      </c>
      <c r="F33" s="344">
        <v>45852</v>
      </c>
      <c r="G33" s="344"/>
      <c r="H33" s="344"/>
    </row>
    <row r="34" spans="1:8" ht="15.75" customHeight="1">
      <c r="A34" s="340" t="s">
        <v>201</v>
      </c>
      <c r="B34" s="340">
        <v>20251008</v>
      </c>
      <c r="C34" s="340" t="s">
        <v>202</v>
      </c>
      <c r="D34" s="342">
        <v>1440</v>
      </c>
      <c r="E34" s="342">
        <f t="shared" si="0"/>
        <v>5760</v>
      </c>
      <c r="F34" s="344">
        <v>45852</v>
      </c>
      <c r="G34" s="344"/>
      <c r="H34" s="344"/>
    </row>
    <row r="35" spans="1:8" ht="15.75" customHeight="1">
      <c r="A35" s="340" t="s">
        <v>201</v>
      </c>
      <c r="B35" s="340">
        <v>20250958</v>
      </c>
      <c r="C35" s="340" t="s">
        <v>193</v>
      </c>
      <c r="D35" s="342">
        <v>1728</v>
      </c>
      <c r="E35" s="342">
        <f t="shared" si="0"/>
        <v>6912</v>
      </c>
      <c r="F35" s="344">
        <v>45848</v>
      </c>
      <c r="G35" s="344"/>
      <c r="H35" s="344"/>
    </row>
    <row r="36" spans="1:8" ht="15.75" customHeight="1">
      <c r="A36" s="340" t="s">
        <v>201</v>
      </c>
      <c r="B36" s="340">
        <v>20251008</v>
      </c>
      <c r="C36" s="340" t="s">
        <v>193</v>
      </c>
      <c r="D36" s="342">
        <v>96</v>
      </c>
      <c r="E36" s="342">
        <f t="shared" si="0"/>
        <v>384</v>
      </c>
      <c r="F36" s="344">
        <v>45852</v>
      </c>
      <c r="G36" s="344"/>
      <c r="H36" s="344"/>
    </row>
    <row r="37" spans="1:8" ht="15.75" customHeight="1">
      <c r="A37" s="340" t="s">
        <v>100</v>
      </c>
      <c r="B37" s="340">
        <v>20251031</v>
      </c>
      <c r="C37" s="340" t="s">
        <v>196</v>
      </c>
      <c r="D37" s="342">
        <v>693</v>
      </c>
      <c r="E37" s="342">
        <f t="shared" si="0"/>
        <v>2772</v>
      </c>
      <c r="F37" s="344">
        <v>45859</v>
      </c>
      <c r="G37" s="344"/>
      <c r="H37" s="344"/>
    </row>
    <row r="38" spans="1:8" ht="12.75">
      <c r="A38" s="340" t="s">
        <v>100</v>
      </c>
      <c r="B38" s="340">
        <v>20251031</v>
      </c>
      <c r="C38" s="340" t="s">
        <v>197</v>
      </c>
      <c r="D38" s="342">
        <v>630</v>
      </c>
      <c r="E38" s="342">
        <f t="shared" si="0"/>
        <v>2520</v>
      </c>
      <c r="F38" s="344">
        <v>45859</v>
      </c>
      <c r="G38" s="344"/>
      <c r="H38" s="344"/>
    </row>
    <row r="39" spans="1:8" ht="12.75">
      <c r="A39" s="340" t="s">
        <v>100</v>
      </c>
      <c r="B39" s="340">
        <v>20251031</v>
      </c>
      <c r="C39" s="340" t="s">
        <v>195</v>
      </c>
      <c r="D39" s="342">
        <v>90</v>
      </c>
      <c r="E39" s="342">
        <f t="shared" si="0"/>
        <v>540</v>
      </c>
      <c r="F39" s="344">
        <v>45859</v>
      </c>
      <c r="G39" s="344"/>
      <c r="H39" s="344"/>
    </row>
    <row r="40" spans="1:8" ht="12.75">
      <c r="A40" s="340" t="s">
        <v>100</v>
      </c>
      <c r="B40" s="340">
        <v>20251031</v>
      </c>
      <c r="C40" s="340" t="s">
        <v>203</v>
      </c>
      <c r="D40" s="342">
        <v>225</v>
      </c>
      <c r="E40" s="342">
        <f t="shared" si="0"/>
        <v>1350</v>
      </c>
      <c r="F40" s="344">
        <v>45859</v>
      </c>
      <c r="G40" s="344"/>
      <c r="H40" s="344"/>
    </row>
    <row r="41" spans="1:8" ht="12.75">
      <c r="A41" s="340" t="s">
        <v>106</v>
      </c>
      <c r="B41" s="340">
        <v>20251234</v>
      </c>
      <c r="C41" s="340" t="s">
        <v>195</v>
      </c>
      <c r="D41" s="342">
        <v>45</v>
      </c>
      <c r="E41" s="342">
        <f t="shared" si="0"/>
        <v>270</v>
      </c>
      <c r="F41" s="344">
        <v>45859</v>
      </c>
      <c r="G41" s="344"/>
      <c r="H41" s="344"/>
    </row>
    <row r="42" spans="1:8" ht="12.75">
      <c r="A42" s="340" t="s">
        <v>106</v>
      </c>
      <c r="B42" s="340">
        <v>20251414</v>
      </c>
      <c r="C42" s="340" t="s">
        <v>195</v>
      </c>
      <c r="D42" s="342">
        <v>45</v>
      </c>
      <c r="E42" s="342">
        <f t="shared" si="0"/>
        <v>270</v>
      </c>
      <c r="F42" s="344">
        <v>45875</v>
      </c>
      <c r="G42" s="344"/>
      <c r="H42" s="344"/>
    </row>
    <row r="43" spans="1:8" ht="12.75">
      <c r="A43" s="340" t="s">
        <v>106</v>
      </c>
      <c r="B43" s="340">
        <v>20251399</v>
      </c>
      <c r="C43" s="340" t="s">
        <v>203</v>
      </c>
      <c r="D43" s="342">
        <v>270</v>
      </c>
      <c r="E43" s="342">
        <f t="shared" si="0"/>
        <v>1620</v>
      </c>
      <c r="F43" s="344">
        <v>45916</v>
      </c>
      <c r="G43" s="344"/>
      <c r="H43" s="344"/>
    </row>
    <row r="44" spans="1:8" ht="12.75">
      <c r="A44" s="340" t="s">
        <v>106</v>
      </c>
      <c r="B44" s="340">
        <v>20251399</v>
      </c>
      <c r="C44" s="340" t="s">
        <v>196</v>
      </c>
      <c r="D44" s="342">
        <v>684</v>
      </c>
      <c r="E44" s="342">
        <f t="shared" si="0"/>
        <v>2736</v>
      </c>
      <c r="F44" s="344">
        <v>45916</v>
      </c>
      <c r="G44" s="344"/>
      <c r="H44" s="344"/>
    </row>
    <row r="45" spans="1:8" ht="12.75">
      <c r="A45" s="340" t="s">
        <v>106</v>
      </c>
      <c r="B45" s="340">
        <v>20251399</v>
      </c>
      <c r="C45" s="340" t="s">
        <v>197</v>
      </c>
      <c r="D45" s="342">
        <v>618</v>
      </c>
      <c r="E45" s="342">
        <f t="shared" si="0"/>
        <v>2472</v>
      </c>
      <c r="F45" s="344">
        <v>45916</v>
      </c>
      <c r="G45" s="344"/>
      <c r="H45" s="344"/>
    </row>
    <row r="46" spans="1:8" ht="12.75">
      <c r="A46" s="340" t="s">
        <v>204</v>
      </c>
      <c r="B46" s="340">
        <v>20251284</v>
      </c>
      <c r="C46" s="340" t="s">
        <v>188</v>
      </c>
      <c r="D46" s="342">
        <v>768</v>
      </c>
      <c r="E46" s="342">
        <f t="shared" si="0"/>
        <v>3072</v>
      </c>
      <c r="F46" s="344">
        <v>45888</v>
      </c>
      <c r="G46" s="344"/>
      <c r="H46" s="344"/>
    </row>
    <row r="47" spans="1:8" ht="12.75">
      <c r="A47" s="340" t="s">
        <v>204</v>
      </c>
      <c r="B47" s="340">
        <v>20251284</v>
      </c>
      <c r="C47" s="340" t="s">
        <v>202</v>
      </c>
      <c r="D47" s="342">
        <v>768</v>
      </c>
      <c r="E47" s="342">
        <f t="shared" si="0"/>
        <v>3072</v>
      </c>
      <c r="F47" s="344">
        <v>45888</v>
      </c>
      <c r="G47" s="344"/>
      <c r="H47" s="344"/>
    </row>
    <row r="48" spans="1:8" ht="12.75">
      <c r="A48" s="340" t="s">
        <v>204</v>
      </c>
      <c r="B48" s="340">
        <v>20251284</v>
      </c>
      <c r="C48" s="340" t="s">
        <v>193</v>
      </c>
      <c r="D48" s="342">
        <v>768</v>
      </c>
      <c r="E48" s="342">
        <f t="shared" si="0"/>
        <v>3072</v>
      </c>
      <c r="F48" s="344">
        <v>45888</v>
      </c>
      <c r="G48" s="344"/>
      <c r="H48" s="344"/>
    </row>
    <row r="49" spans="1:8" ht="12.75">
      <c r="A49" s="340" t="s">
        <v>205</v>
      </c>
      <c r="B49" s="340">
        <v>20251473</v>
      </c>
      <c r="C49" s="340" t="s">
        <v>187</v>
      </c>
      <c r="D49" s="342">
        <v>96</v>
      </c>
      <c r="E49" s="342">
        <f t="shared" si="0"/>
        <v>384</v>
      </c>
      <c r="F49" s="344">
        <v>45916</v>
      </c>
      <c r="G49" s="344"/>
      <c r="H49" s="344"/>
    </row>
    <row r="50" spans="1:8" ht="12.75">
      <c r="A50" s="340" t="s">
        <v>205</v>
      </c>
      <c r="B50" s="340">
        <v>20251472</v>
      </c>
      <c r="C50" s="340" t="s">
        <v>202</v>
      </c>
      <c r="D50" s="342">
        <v>96</v>
      </c>
      <c r="E50" s="342">
        <f t="shared" si="0"/>
        <v>384</v>
      </c>
      <c r="F50" s="344">
        <v>45917</v>
      </c>
      <c r="G50" s="344"/>
      <c r="H50" s="344"/>
    </row>
    <row r="51" spans="1:8" ht="12.75">
      <c r="A51" s="340" t="s">
        <v>205</v>
      </c>
      <c r="B51" s="340">
        <v>20251430</v>
      </c>
      <c r="C51" s="340" t="s">
        <v>202</v>
      </c>
      <c r="D51" s="342">
        <v>2400</v>
      </c>
      <c r="E51" s="342">
        <f t="shared" si="0"/>
        <v>9600</v>
      </c>
      <c r="F51" s="344">
        <v>45875</v>
      </c>
      <c r="G51" s="344"/>
      <c r="H51" s="344"/>
    </row>
    <row r="52" spans="1:8" ht="12.75">
      <c r="A52" s="340" t="s">
        <v>205</v>
      </c>
      <c r="B52" s="340">
        <v>20251569</v>
      </c>
      <c r="C52" s="340" t="s">
        <v>202</v>
      </c>
      <c r="D52" s="342">
        <v>2103</v>
      </c>
      <c r="E52" s="342">
        <f t="shared" si="0"/>
        <v>8412</v>
      </c>
      <c r="F52" s="344">
        <v>45926</v>
      </c>
      <c r="G52" s="344"/>
      <c r="H52" s="344"/>
    </row>
    <row r="53" spans="1:8" ht="12.75">
      <c r="A53" s="340" t="s">
        <v>205</v>
      </c>
      <c r="B53" s="340">
        <v>20251474</v>
      </c>
      <c r="C53" s="340" t="s">
        <v>193</v>
      </c>
      <c r="D53" s="342">
        <v>1824</v>
      </c>
      <c r="E53" s="342">
        <f t="shared" si="0"/>
        <v>7296</v>
      </c>
      <c r="F53" s="344">
        <v>45955</v>
      </c>
      <c r="G53" s="344"/>
      <c r="H53" s="344"/>
    </row>
    <row r="54" spans="1:8" ht="12.75">
      <c r="A54" s="340" t="s">
        <v>205</v>
      </c>
      <c r="B54" s="340">
        <v>20251473</v>
      </c>
      <c r="C54" s="340" t="s">
        <v>193</v>
      </c>
      <c r="D54" s="342">
        <v>384</v>
      </c>
      <c r="E54" s="342">
        <f t="shared" si="0"/>
        <v>1536</v>
      </c>
      <c r="F54" s="344">
        <v>45916</v>
      </c>
      <c r="G54" s="344"/>
      <c r="H54" s="344"/>
    </row>
    <row r="55" spans="1:8" ht="12.75">
      <c r="A55" s="340" t="s">
        <v>205</v>
      </c>
      <c r="B55" s="340">
        <v>20251569</v>
      </c>
      <c r="C55" s="340" t="s">
        <v>193</v>
      </c>
      <c r="D55" s="342">
        <v>288</v>
      </c>
      <c r="E55" s="342">
        <f t="shared" si="0"/>
        <v>1152</v>
      </c>
      <c r="F55" s="344">
        <v>45926</v>
      </c>
      <c r="G55" s="344"/>
      <c r="H55" s="340"/>
    </row>
    <row r="56" spans="1:8" ht="12.75">
      <c r="A56" s="340" t="s">
        <v>205</v>
      </c>
      <c r="B56" s="340">
        <v>20251473</v>
      </c>
      <c r="C56" s="340" t="s">
        <v>188</v>
      </c>
      <c r="D56" s="342">
        <v>1056</v>
      </c>
      <c r="E56" s="342">
        <f t="shared" si="0"/>
        <v>4224</v>
      </c>
      <c r="F56" s="344">
        <v>45916</v>
      </c>
      <c r="G56" s="344"/>
      <c r="H56" s="340"/>
    </row>
    <row r="57" spans="1:8" ht="12.75">
      <c r="A57" s="340" t="s">
        <v>205</v>
      </c>
      <c r="B57" s="340">
        <v>20251472</v>
      </c>
      <c r="C57" s="340" t="s">
        <v>202</v>
      </c>
      <c r="D57" s="342">
        <v>1920</v>
      </c>
      <c r="E57" s="342">
        <f t="shared" si="0"/>
        <v>7680</v>
      </c>
      <c r="F57" s="344">
        <v>45917</v>
      </c>
      <c r="G57" s="344"/>
      <c r="H57" s="340"/>
    </row>
    <row r="58" spans="1:8" ht="12.75">
      <c r="A58" s="340" t="s">
        <v>205</v>
      </c>
      <c r="B58" s="340">
        <v>20251471</v>
      </c>
      <c r="C58" s="340" t="s">
        <v>193</v>
      </c>
      <c r="D58" s="342">
        <v>2400</v>
      </c>
      <c r="E58" s="342">
        <f t="shared" si="0"/>
        <v>9600</v>
      </c>
      <c r="F58" s="344">
        <v>45917</v>
      </c>
      <c r="G58" s="344"/>
      <c r="H58" s="340"/>
    </row>
    <row r="59" spans="1:8" ht="12.75">
      <c r="A59" s="340" t="s">
        <v>205</v>
      </c>
      <c r="B59" s="340">
        <v>20251472</v>
      </c>
      <c r="C59" s="340" t="s">
        <v>193</v>
      </c>
      <c r="D59" s="342">
        <v>384</v>
      </c>
      <c r="E59" s="342">
        <f t="shared" si="0"/>
        <v>1536</v>
      </c>
      <c r="F59" s="344">
        <v>45917</v>
      </c>
      <c r="G59" s="344"/>
      <c r="H59" s="340"/>
    </row>
    <row r="60" spans="1:8" ht="12.75">
      <c r="A60" s="340" t="s">
        <v>205</v>
      </c>
      <c r="B60" s="340">
        <v>20251474</v>
      </c>
      <c r="C60" s="340" t="s">
        <v>193</v>
      </c>
      <c r="D60" s="342">
        <v>576</v>
      </c>
      <c r="E60" s="342">
        <f t="shared" si="0"/>
        <v>2304</v>
      </c>
      <c r="F60" s="344">
        <v>45955</v>
      </c>
      <c r="G60" s="344"/>
      <c r="H60" s="340"/>
    </row>
    <row r="61" spans="1:8" ht="12.75">
      <c r="A61" s="340" t="s">
        <v>206</v>
      </c>
      <c r="B61" s="340">
        <v>20251740</v>
      </c>
      <c r="C61" s="340" t="s">
        <v>187</v>
      </c>
      <c r="D61" s="342">
        <v>608</v>
      </c>
      <c r="E61" s="342">
        <f t="shared" si="0"/>
        <v>2432</v>
      </c>
      <c r="F61" s="344">
        <v>45955</v>
      </c>
      <c r="G61" s="344"/>
      <c r="H61" s="344"/>
    </row>
    <row r="62" spans="1:8" ht="12.75">
      <c r="A62" s="340" t="s">
        <v>206</v>
      </c>
      <c r="B62" s="340">
        <v>20251672</v>
      </c>
      <c r="C62" s="340" t="s">
        <v>188</v>
      </c>
      <c r="D62" s="342">
        <v>2400</v>
      </c>
      <c r="E62" s="342">
        <f t="shared" si="0"/>
        <v>9600</v>
      </c>
      <c r="F62" s="344">
        <v>45944</v>
      </c>
      <c r="G62" s="344"/>
      <c r="H62" s="344"/>
    </row>
    <row r="63" spans="1:8" ht="12.75">
      <c r="A63" s="340" t="s">
        <v>206</v>
      </c>
      <c r="B63" s="340">
        <v>20251840</v>
      </c>
      <c r="C63" s="340" t="s">
        <v>188</v>
      </c>
      <c r="D63" s="342">
        <v>287</v>
      </c>
      <c r="E63" s="342">
        <f t="shared" si="0"/>
        <v>1148</v>
      </c>
      <c r="F63" s="344">
        <v>45969</v>
      </c>
      <c r="G63" s="344"/>
      <c r="H63" s="344"/>
    </row>
    <row r="64" spans="1:8" ht="12.75">
      <c r="A64" s="340" t="s">
        <v>206</v>
      </c>
      <c r="B64" s="340">
        <v>20251858</v>
      </c>
      <c r="C64" s="340" t="s">
        <v>188</v>
      </c>
      <c r="D64" s="342">
        <v>2304</v>
      </c>
      <c r="E64" s="342">
        <f t="shared" si="0"/>
        <v>9216</v>
      </c>
      <c r="F64" s="344">
        <v>45969</v>
      </c>
      <c r="G64" s="344"/>
      <c r="H64" s="344"/>
    </row>
    <row r="65" spans="1:8" ht="12.75">
      <c r="A65" s="340" t="s">
        <v>206</v>
      </c>
      <c r="B65" s="340">
        <v>20251858</v>
      </c>
      <c r="C65" s="340" t="s">
        <v>202</v>
      </c>
      <c r="D65" s="342">
        <v>96</v>
      </c>
      <c r="E65" s="342">
        <f t="shared" si="0"/>
        <v>384</v>
      </c>
      <c r="F65" s="344">
        <v>45969</v>
      </c>
      <c r="G65" s="344"/>
      <c r="H65" s="344"/>
    </row>
    <row r="66" spans="1:8" ht="12.75">
      <c r="A66" s="340" t="s">
        <v>206</v>
      </c>
      <c r="B66" s="340">
        <v>20251859</v>
      </c>
      <c r="C66" s="340" t="s">
        <v>202</v>
      </c>
      <c r="D66" s="342">
        <v>864</v>
      </c>
      <c r="E66" s="342">
        <f t="shared" si="0"/>
        <v>3456</v>
      </c>
      <c r="F66" s="344">
        <v>45969</v>
      </c>
      <c r="G66" s="344"/>
      <c r="H66" s="344"/>
    </row>
    <row r="67" spans="1:8" ht="12.75">
      <c r="A67" s="340" t="s">
        <v>206</v>
      </c>
      <c r="B67" s="340">
        <v>20251622</v>
      </c>
      <c r="C67" s="340" t="s">
        <v>193</v>
      </c>
      <c r="D67" s="342">
        <v>2400</v>
      </c>
      <c r="E67" s="342">
        <f t="shared" si="0"/>
        <v>9600</v>
      </c>
      <c r="F67" s="344">
        <v>45933</v>
      </c>
      <c r="G67" s="344"/>
      <c r="H67" s="344"/>
    </row>
    <row r="68" spans="1:8" ht="12.75">
      <c r="A68" s="340" t="s">
        <v>206</v>
      </c>
      <c r="B68" s="340">
        <v>20251623</v>
      </c>
      <c r="C68" s="340" t="s">
        <v>193</v>
      </c>
      <c r="D68" s="342">
        <v>2400</v>
      </c>
      <c r="E68" s="342">
        <f t="shared" si="0"/>
        <v>9600</v>
      </c>
      <c r="F68" s="344">
        <v>45933</v>
      </c>
      <c r="G68" s="344"/>
      <c r="H68" s="344"/>
    </row>
    <row r="69" spans="1:8" ht="12.75">
      <c r="A69" s="340" t="s">
        <v>112</v>
      </c>
      <c r="B69" s="340">
        <v>20251751</v>
      </c>
      <c r="C69" s="340" t="s">
        <v>195</v>
      </c>
      <c r="D69" s="342">
        <v>270</v>
      </c>
      <c r="E69" s="342">
        <f t="shared" si="0"/>
        <v>1620</v>
      </c>
      <c r="F69" s="344">
        <v>45974</v>
      </c>
      <c r="G69" s="344"/>
      <c r="H69" s="344"/>
    </row>
    <row r="70" spans="1:8" ht="12.75">
      <c r="A70" s="340" t="s">
        <v>112</v>
      </c>
      <c r="B70" s="340">
        <v>20251693</v>
      </c>
      <c r="C70" s="340" t="s">
        <v>203</v>
      </c>
      <c r="D70" s="342">
        <v>180</v>
      </c>
      <c r="E70" s="342">
        <f t="shared" si="0"/>
        <v>1080</v>
      </c>
      <c r="F70" s="344">
        <v>45904</v>
      </c>
      <c r="G70" s="344"/>
      <c r="H70" s="344"/>
    </row>
    <row r="71" spans="1:8" ht="12.75">
      <c r="A71" s="340" t="s">
        <v>112</v>
      </c>
      <c r="B71" s="340">
        <v>20251751</v>
      </c>
      <c r="C71" s="340" t="s">
        <v>203</v>
      </c>
      <c r="D71" s="342">
        <v>360</v>
      </c>
      <c r="E71" s="342">
        <f t="shared" si="0"/>
        <v>2160</v>
      </c>
      <c r="F71" s="344">
        <v>45974</v>
      </c>
      <c r="G71" s="344"/>
      <c r="H71" s="344"/>
    </row>
    <row r="72" spans="1:8" ht="12.75">
      <c r="A72" s="340" t="s">
        <v>112</v>
      </c>
      <c r="B72" s="340">
        <v>20251751</v>
      </c>
      <c r="C72" s="340" t="s">
        <v>207</v>
      </c>
      <c r="D72" s="342">
        <v>90</v>
      </c>
      <c r="E72" s="342">
        <f t="shared" si="0"/>
        <v>540</v>
      </c>
      <c r="F72" s="344">
        <v>45974</v>
      </c>
      <c r="G72" s="344"/>
      <c r="H72" s="340"/>
    </row>
    <row r="73" spans="1:8" ht="12.75">
      <c r="A73" s="340" t="s">
        <v>112</v>
      </c>
      <c r="B73" s="340">
        <v>20251751</v>
      </c>
      <c r="C73" s="340" t="s">
        <v>208</v>
      </c>
      <c r="D73" s="342">
        <v>90</v>
      </c>
      <c r="E73" s="342">
        <f t="shared" si="0"/>
        <v>540</v>
      </c>
      <c r="F73" s="344">
        <v>45974</v>
      </c>
      <c r="G73" s="344"/>
      <c r="H73" s="340"/>
    </row>
    <row r="74" spans="1:8" ht="12.75">
      <c r="A74" s="340" t="s">
        <v>113</v>
      </c>
      <c r="B74" s="340">
        <v>20251711</v>
      </c>
      <c r="C74" s="340" t="s">
        <v>199</v>
      </c>
      <c r="D74" s="342">
        <v>42</v>
      </c>
      <c r="E74" s="342">
        <f t="shared" si="0"/>
        <v>1008</v>
      </c>
      <c r="F74" s="344">
        <v>45955</v>
      </c>
      <c r="G74" s="344"/>
      <c r="H74" s="340"/>
    </row>
    <row r="75" spans="1:8" ht="12.75">
      <c r="A75" s="340" t="s">
        <v>206</v>
      </c>
      <c r="B75" s="340">
        <v>20251624</v>
      </c>
      <c r="C75" s="340" t="s">
        <v>188</v>
      </c>
      <c r="D75" s="342">
        <v>255</v>
      </c>
      <c r="E75" s="342">
        <f t="shared" si="0"/>
        <v>1020</v>
      </c>
      <c r="F75" s="344">
        <v>45933</v>
      </c>
      <c r="G75" s="344"/>
      <c r="H75" s="340"/>
    </row>
    <row r="76" spans="1:8" ht="12.75">
      <c r="A76" s="340" t="s">
        <v>206</v>
      </c>
      <c r="B76" s="340">
        <v>20251740</v>
      </c>
      <c r="C76" s="340" t="s">
        <v>188</v>
      </c>
      <c r="D76" s="342">
        <v>864</v>
      </c>
      <c r="E76" s="342">
        <f t="shared" si="0"/>
        <v>3456</v>
      </c>
      <c r="F76" s="344">
        <v>45955</v>
      </c>
      <c r="G76" s="344"/>
      <c r="H76" s="344"/>
    </row>
    <row r="77" spans="1:8" ht="12.75">
      <c r="A77" s="340" t="s">
        <v>206</v>
      </c>
      <c r="B77" s="340">
        <v>20251674</v>
      </c>
      <c r="C77" s="340" t="s">
        <v>202</v>
      </c>
      <c r="D77" s="342">
        <v>1728</v>
      </c>
      <c r="E77" s="342">
        <f t="shared" si="0"/>
        <v>6912</v>
      </c>
      <c r="F77" s="344">
        <v>45905</v>
      </c>
      <c r="G77" s="344"/>
      <c r="H77" s="344"/>
    </row>
    <row r="78" spans="1:8" ht="12.75">
      <c r="A78" s="340" t="s">
        <v>206</v>
      </c>
      <c r="B78" s="340">
        <v>20251741</v>
      </c>
      <c r="C78" s="340" t="s">
        <v>202</v>
      </c>
      <c r="D78" s="342">
        <v>1152</v>
      </c>
      <c r="E78" s="342">
        <f t="shared" si="0"/>
        <v>4608</v>
      </c>
      <c r="F78" s="344">
        <v>45947</v>
      </c>
      <c r="G78" s="344"/>
      <c r="H78" s="344"/>
    </row>
    <row r="79" spans="1:8" ht="12.75">
      <c r="A79" s="340" t="s">
        <v>206</v>
      </c>
      <c r="B79" s="340">
        <v>20251624</v>
      </c>
      <c r="C79" s="340" t="s">
        <v>193</v>
      </c>
      <c r="D79" s="342">
        <v>2016</v>
      </c>
      <c r="E79" s="342">
        <f t="shared" si="0"/>
        <v>8064</v>
      </c>
      <c r="F79" s="344">
        <v>45933</v>
      </c>
      <c r="G79" s="344"/>
      <c r="H79" s="344"/>
    </row>
    <row r="80" spans="1:8" ht="12.75">
      <c r="A80" s="340" t="s">
        <v>206</v>
      </c>
      <c r="B80" s="340">
        <v>20251624</v>
      </c>
      <c r="C80" s="340" t="s">
        <v>193</v>
      </c>
      <c r="D80" s="342">
        <v>30</v>
      </c>
      <c r="E80" s="342">
        <f t="shared" si="0"/>
        <v>120</v>
      </c>
      <c r="F80" s="344">
        <v>45933</v>
      </c>
      <c r="G80" s="344"/>
      <c r="H80" s="344"/>
    </row>
    <row r="81" spans="1:8" ht="12.75">
      <c r="A81" s="340" t="s">
        <v>206</v>
      </c>
      <c r="B81" s="340">
        <v>20251909</v>
      </c>
      <c r="C81" s="340" t="s">
        <v>193</v>
      </c>
      <c r="D81" s="342">
        <v>96</v>
      </c>
      <c r="E81" s="342">
        <f t="shared" si="0"/>
        <v>384</v>
      </c>
      <c r="F81" s="344">
        <v>45976</v>
      </c>
      <c r="G81" s="344"/>
      <c r="H81" s="344"/>
    </row>
    <row r="82" spans="1:8" ht="12.75">
      <c r="A82" s="340" t="s">
        <v>206</v>
      </c>
      <c r="B82" s="340">
        <v>20251870</v>
      </c>
      <c r="C82" s="340" t="s">
        <v>193</v>
      </c>
      <c r="D82" s="342">
        <v>2112</v>
      </c>
      <c r="E82" s="342">
        <f t="shared" si="0"/>
        <v>8448</v>
      </c>
      <c r="F82" s="344">
        <v>45969</v>
      </c>
      <c r="G82" s="344"/>
      <c r="H82" s="344"/>
    </row>
    <row r="83" spans="1:8" ht="12.75">
      <c r="A83" s="340" t="s">
        <v>206</v>
      </c>
      <c r="B83" s="340">
        <v>20251843</v>
      </c>
      <c r="C83" s="340" t="s">
        <v>193</v>
      </c>
      <c r="D83" s="342">
        <v>672</v>
      </c>
      <c r="E83" s="342">
        <f t="shared" si="0"/>
        <v>2688</v>
      </c>
      <c r="F83" s="344">
        <v>45969</v>
      </c>
      <c r="G83" s="344"/>
      <c r="H83" s="344"/>
    </row>
    <row r="84" spans="1:8" ht="12.75">
      <c r="A84" s="340" t="s">
        <v>206</v>
      </c>
      <c r="B84" s="340">
        <v>20251741</v>
      </c>
      <c r="C84" s="340" t="s">
        <v>187</v>
      </c>
      <c r="D84" s="342">
        <v>576</v>
      </c>
      <c r="E84" s="342">
        <f t="shared" si="0"/>
        <v>2304</v>
      </c>
      <c r="F84" s="344">
        <v>45947</v>
      </c>
      <c r="G84" s="344"/>
      <c r="H84" s="344"/>
    </row>
    <row r="85" spans="1:8" ht="12.75">
      <c r="A85" s="340" t="s">
        <v>209</v>
      </c>
      <c r="B85" s="340">
        <v>20251840</v>
      </c>
      <c r="C85" s="340" t="s">
        <v>187</v>
      </c>
      <c r="D85" s="342">
        <v>809</v>
      </c>
      <c r="E85" s="342">
        <f t="shared" si="0"/>
        <v>3236</v>
      </c>
      <c r="F85" s="344">
        <v>45969</v>
      </c>
      <c r="G85" s="344"/>
      <c r="H85" s="344"/>
    </row>
    <row r="86" spans="1:8" ht="12.75">
      <c r="A86" s="340" t="s">
        <v>209</v>
      </c>
      <c r="B86" s="340">
        <v>20251972</v>
      </c>
      <c r="C86" s="340" t="s">
        <v>188</v>
      </c>
      <c r="D86" s="342">
        <v>888</v>
      </c>
      <c r="E86" s="342">
        <f t="shared" si="0"/>
        <v>3552</v>
      </c>
      <c r="F86" s="344">
        <v>45993</v>
      </c>
      <c r="G86" s="344"/>
      <c r="H86" s="344"/>
    </row>
    <row r="87" spans="1:8" ht="12.75">
      <c r="A87" s="340" t="s">
        <v>209</v>
      </c>
      <c r="B87" s="340">
        <v>20251976</v>
      </c>
      <c r="C87" s="340" t="s">
        <v>188</v>
      </c>
      <c r="D87" s="342">
        <v>2400</v>
      </c>
      <c r="E87" s="342">
        <f t="shared" si="0"/>
        <v>9600</v>
      </c>
      <c r="F87" s="344">
        <v>45993</v>
      </c>
      <c r="G87" s="344"/>
      <c r="H87" s="344"/>
    </row>
    <row r="88" spans="1:8" ht="12.75">
      <c r="A88" s="340" t="s">
        <v>209</v>
      </c>
      <c r="B88" s="340">
        <v>20252070</v>
      </c>
      <c r="C88" s="340" t="s">
        <v>188</v>
      </c>
      <c r="D88" s="342">
        <v>768</v>
      </c>
      <c r="E88" s="342">
        <f t="shared" si="0"/>
        <v>3072</v>
      </c>
      <c r="F88" s="344">
        <v>45998</v>
      </c>
      <c r="G88" s="344"/>
      <c r="H88" s="344"/>
    </row>
    <row r="89" spans="1:8" ht="12.75">
      <c r="A89" s="340" t="s">
        <v>209</v>
      </c>
      <c r="B89" s="340">
        <v>20251909</v>
      </c>
      <c r="C89" s="340" t="s">
        <v>202</v>
      </c>
      <c r="D89" s="342">
        <v>2304</v>
      </c>
      <c r="E89" s="342">
        <f t="shared" si="0"/>
        <v>9216</v>
      </c>
      <c r="F89" s="344">
        <v>45976</v>
      </c>
      <c r="G89" s="344"/>
      <c r="H89" s="344"/>
    </row>
    <row r="90" spans="1:8" ht="12.75">
      <c r="A90" s="340" t="s">
        <v>209</v>
      </c>
      <c r="B90" s="340">
        <v>20251908</v>
      </c>
      <c r="C90" s="340" t="s">
        <v>202</v>
      </c>
      <c r="D90" s="342">
        <v>2400</v>
      </c>
      <c r="E90" s="342">
        <f t="shared" si="0"/>
        <v>9600</v>
      </c>
      <c r="F90" s="344">
        <v>45976</v>
      </c>
      <c r="G90" s="344"/>
      <c r="H90" s="344"/>
    </row>
    <row r="91" spans="1:8" ht="12.75">
      <c r="A91" s="340" t="s">
        <v>209</v>
      </c>
      <c r="B91" s="340">
        <v>20251972</v>
      </c>
      <c r="C91" s="340" t="s">
        <v>202</v>
      </c>
      <c r="D91" s="342">
        <v>1403</v>
      </c>
      <c r="E91" s="342">
        <f t="shared" si="0"/>
        <v>5612</v>
      </c>
      <c r="F91" s="344">
        <v>45993</v>
      </c>
      <c r="G91" s="344"/>
      <c r="H91" s="344"/>
    </row>
    <row r="92" spans="1:8" ht="12.75">
      <c r="A92" s="340" t="s">
        <v>209</v>
      </c>
      <c r="B92" s="340">
        <v>20251973</v>
      </c>
      <c r="C92" s="340" t="s">
        <v>202</v>
      </c>
      <c r="D92" s="342">
        <v>2400</v>
      </c>
      <c r="E92" s="342">
        <f t="shared" si="0"/>
        <v>9600</v>
      </c>
      <c r="F92" s="344">
        <v>45993</v>
      </c>
      <c r="G92" s="344"/>
      <c r="H92" s="344"/>
    </row>
    <row r="93" spans="1:8" ht="12.75">
      <c r="A93" s="340" t="s">
        <v>209</v>
      </c>
      <c r="B93" s="340">
        <v>20251974</v>
      </c>
      <c r="C93" s="340" t="s">
        <v>202</v>
      </c>
      <c r="D93" s="342">
        <v>2400</v>
      </c>
      <c r="E93" s="342">
        <f t="shared" si="0"/>
        <v>9600</v>
      </c>
      <c r="F93" s="344">
        <v>45993</v>
      </c>
      <c r="G93" s="344"/>
      <c r="H93" s="344"/>
    </row>
    <row r="94" spans="1:8" ht="12.75">
      <c r="A94" s="340" t="s">
        <v>209</v>
      </c>
      <c r="B94" s="340">
        <v>20251975</v>
      </c>
      <c r="C94" s="340" t="s">
        <v>202</v>
      </c>
      <c r="D94" s="342">
        <v>2400</v>
      </c>
      <c r="E94" s="342">
        <f t="shared" si="0"/>
        <v>9600</v>
      </c>
      <c r="F94" s="344">
        <v>45993</v>
      </c>
      <c r="G94" s="344"/>
      <c r="H94" s="344"/>
    </row>
    <row r="95" spans="1:8" ht="12.75">
      <c r="A95" s="340" t="s">
        <v>209</v>
      </c>
      <c r="B95" s="340">
        <v>20251840</v>
      </c>
      <c r="C95" s="340" t="s">
        <v>193</v>
      </c>
      <c r="D95" s="342">
        <v>1248</v>
      </c>
      <c r="E95" s="342">
        <f t="shared" si="0"/>
        <v>4992</v>
      </c>
      <c r="F95" s="344">
        <v>45969</v>
      </c>
      <c r="G95" s="344"/>
      <c r="H95" s="344"/>
    </row>
    <row r="96" spans="1:8" ht="12.75">
      <c r="A96" s="340" t="s">
        <v>209</v>
      </c>
      <c r="B96" s="340">
        <v>20251841</v>
      </c>
      <c r="C96" s="340" t="s">
        <v>193</v>
      </c>
      <c r="D96" s="342">
        <v>2400</v>
      </c>
      <c r="E96" s="342">
        <f t="shared" si="0"/>
        <v>9600</v>
      </c>
      <c r="F96" s="344">
        <v>45969</v>
      </c>
      <c r="G96" s="344"/>
      <c r="H96" s="344"/>
    </row>
    <row r="97" spans="1:8" ht="12.75">
      <c r="A97" s="340" t="s">
        <v>209</v>
      </c>
      <c r="B97" s="340">
        <v>20251842</v>
      </c>
      <c r="C97" s="340" t="s">
        <v>193</v>
      </c>
      <c r="D97" s="342">
        <v>2400</v>
      </c>
      <c r="E97" s="342">
        <f t="shared" si="0"/>
        <v>9600</v>
      </c>
      <c r="F97" s="344">
        <v>45969</v>
      </c>
      <c r="G97" s="344"/>
      <c r="H97" s="344"/>
    </row>
    <row r="98" spans="1:8" ht="12.75">
      <c r="A98" s="340" t="s">
        <v>209</v>
      </c>
      <c r="B98" s="340">
        <v>20251843</v>
      </c>
      <c r="C98" s="340" t="s">
        <v>193</v>
      </c>
      <c r="D98" s="342">
        <v>1728</v>
      </c>
      <c r="E98" s="342">
        <f t="shared" si="0"/>
        <v>6912</v>
      </c>
      <c r="F98" s="344">
        <v>45969</v>
      </c>
      <c r="G98" s="344"/>
      <c r="H98" s="344"/>
    </row>
    <row r="99" spans="1:8" ht="12.75">
      <c r="A99" s="340" t="s">
        <v>209</v>
      </c>
      <c r="B99" s="340">
        <v>20251910</v>
      </c>
      <c r="C99" s="340" t="s">
        <v>193</v>
      </c>
      <c r="D99" s="342">
        <v>2400</v>
      </c>
      <c r="E99" s="342">
        <f t="shared" si="0"/>
        <v>9600</v>
      </c>
      <c r="F99" s="344">
        <v>45976</v>
      </c>
      <c r="G99" s="344"/>
      <c r="H99" s="344"/>
    </row>
    <row r="100" spans="1:8" ht="12.75">
      <c r="A100" s="340" t="s">
        <v>114</v>
      </c>
      <c r="B100" s="340">
        <v>20251932</v>
      </c>
      <c r="C100" s="340" t="s">
        <v>203</v>
      </c>
      <c r="D100" s="342">
        <v>900</v>
      </c>
      <c r="E100" s="342">
        <f t="shared" si="0"/>
        <v>5400</v>
      </c>
      <c r="F100" s="344">
        <v>46000</v>
      </c>
      <c r="G100" s="344"/>
      <c r="H100" s="344"/>
    </row>
    <row r="101" spans="1:8" ht="12.75">
      <c r="A101" s="340" t="s">
        <v>114</v>
      </c>
      <c r="B101" s="340">
        <v>20251932</v>
      </c>
      <c r="C101" s="340" t="s">
        <v>195</v>
      </c>
      <c r="D101" s="342">
        <v>45</v>
      </c>
      <c r="E101" s="342">
        <f t="shared" si="0"/>
        <v>270</v>
      </c>
      <c r="F101" s="344">
        <v>46000</v>
      </c>
      <c r="G101" s="344"/>
      <c r="H101" s="344"/>
    </row>
    <row r="102" spans="1:8" ht="12.75">
      <c r="A102" s="340" t="s">
        <v>114</v>
      </c>
      <c r="B102" s="340">
        <v>20251932</v>
      </c>
      <c r="C102" s="340" t="s">
        <v>207</v>
      </c>
      <c r="D102" s="342">
        <v>47</v>
      </c>
      <c r="E102" s="342">
        <f t="shared" si="0"/>
        <v>282</v>
      </c>
      <c r="F102" s="344">
        <v>46000</v>
      </c>
      <c r="G102" s="344"/>
      <c r="H102" s="344"/>
    </row>
    <row r="103" spans="1:8" ht="12.75">
      <c r="A103" s="340" t="s">
        <v>115</v>
      </c>
      <c r="B103" s="340">
        <v>20251844</v>
      </c>
      <c r="C103" s="340" t="s">
        <v>210</v>
      </c>
      <c r="D103" s="342">
        <v>42</v>
      </c>
      <c r="E103" s="342">
        <f t="shared" si="0"/>
        <v>1008</v>
      </c>
      <c r="F103" s="344">
        <v>45969</v>
      </c>
      <c r="G103" s="344"/>
      <c r="H103" s="344"/>
    </row>
    <row r="104" spans="1:8" ht="12.75">
      <c r="A104" s="340" t="s">
        <v>211</v>
      </c>
      <c r="B104" s="340">
        <v>20252336</v>
      </c>
      <c r="C104" s="340" t="s">
        <v>212</v>
      </c>
      <c r="D104" s="342">
        <v>143</v>
      </c>
      <c r="E104" s="342">
        <f t="shared" ref="E104:E107" si="1">D104*24</f>
        <v>3432</v>
      </c>
      <c r="F104" s="344">
        <v>45987</v>
      </c>
      <c r="G104" s="344"/>
      <c r="H104" s="344"/>
    </row>
    <row r="105" spans="1:8" ht="12.75">
      <c r="A105" s="340" t="s">
        <v>211</v>
      </c>
      <c r="B105" s="340">
        <v>20252336</v>
      </c>
      <c r="C105" s="340" t="s">
        <v>213</v>
      </c>
      <c r="D105" s="342">
        <v>143</v>
      </c>
      <c r="E105" s="342">
        <f t="shared" si="1"/>
        <v>3432</v>
      </c>
      <c r="F105" s="344">
        <v>45987</v>
      </c>
      <c r="G105" s="344"/>
      <c r="H105" s="344"/>
    </row>
    <row r="106" spans="1:8" ht="12.75">
      <c r="A106" s="340" t="s">
        <v>211</v>
      </c>
      <c r="B106" s="340">
        <v>20252336</v>
      </c>
      <c r="C106" s="340" t="s">
        <v>214</v>
      </c>
      <c r="D106" s="342">
        <v>143</v>
      </c>
      <c r="E106" s="342">
        <f t="shared" si="1"/>
        <v>3432</v>
      </c>
      <c r="F106" s="344">
        <v>45987</v>
      </c>
      <c r="G106" s="344"/>
      <c r="H106" s="344"/>
    </row>
    <row r="107" spans="1:8" ht="12.75">
      <c r="A107" s="340" t="s">
        <v>211</v>
      </c>
      <c r="B107" s="340">
        <v>20252336</v>
      </c>
      <c r="C107" s="340" t="s">
        <v>215</v>
      </c>
      <c r="D107" s="342">
        <v>143</v>
      </c>
      <c r="E107" s="342">
        <f t="shared" si="1"/>
        <v>3432</v>
      </c>
      <c r="F107" s="344">
        <v>45987</v>
      </c>
      <c r="G107" s="344"/>
      <c r="H107" s="344"/>
    </row>
    <row r="108" spans="1:8" ht="12.75">
      <c r="A108" s="340" t="s">
        <v>116</v>
      </c>
      <c r="B108" s="340">
        <v>20252212</v>
      </c>
      <c r="C108" s="340" t="s">
        <v>187</v>
      </c>
      <c r="D108" s="342">
        <v>1130</v>
      </c>
      <c r="E108" s="342">
        <f t="shared" ref="E108:E168" si="2">MID(C108,SEARCH("x",C108)-2,2)*D108</f>
        <v>4520</v>
      </c>
      <c r="F108" s="344">
        <v>46013</v>
      </c>
      <c r="G108" s="344"/>
      <c r="H108" s="344"/>
    </row>
    <row r="109" spans="1:8" ht="12.75">
      <c r="A109" s="340" t="s">
        <v>116</v>
      </c>
      <c r="B109" s="340">
        <v>20252277</v>
      </c>
      <c r="C109" s="340" t="s">
        <v>187</v>
      </c>
      <c r="D109" s="342">
        <v>1056</v>
      </c>
      <c r="E109" s="342">
        <f t="shared" si="2"/>
        <v>4224</v>
      </c>
      <c r="F109" s="344"/>
      <c r="G109" s="344">
        <v>46018</v>
      </c>
      <c r="H109" s="344"/>
    </row>
    <row r="110" spans="1:8" ht="12.75">
      <c r="A110" s="340" t="s">
        <v>116</v>
      </c>
      <c r="B110" s="340">
        <v>20252070</v>
      </c>
      <c r="C110" s="340" t="s">
        <v>188</v>
      </c>
      <c r="D110" s="342">
        <v>1632</v>
      </c>
      <c r="E110" s="342">
        <f t="shared" si="2"/>
        <v>6528</v>
      </c>
      <c r="F110" s="344">
        <v>45998</v>
      </c>
      <c r="G110" s="344"/>
      <c r="H110" s="344"/>
    </row>
    <row r="111" spans="1:8" ht="12.75">
      <c r="A111" s="340" t="s">
        <v>116</v>
      </c>
      <c r="B111" s="340">
        <v>20252212</v>
      </c>
      <c r="C111" s="340" t="s">
        <v>188</v>
      </c>
      <c r="D111" s="342">
        <v>768</v>
      </c>
      <c r="E111" s="342">
        <f t="shared" si="2"/>
        <v>3072</v>
      </c>
      <c r="F111" s="344">
        <v>46013</v>
      </c>
      <c r="G111" s="344"/>
      <c r="H111" s="344"/>
    </row>
    <row r="112" spans="1:8" ht="12.75">
      <c r="A112" s="340" t="s">
        <v>116</v>
      </c>
      <c r="B112" s="340">
        <v>20252139</v>
      </c>
      <c r="C112" s="340" t="s">
        <v>202</v>
      </c>
      <c r="D112" s="342">
        <v>2400</v>
      </c>
      <c r="E112" s="342">
        <f t="shared" si="2"/>
        <v>9600</v>
      </c>
      <c r="F112" s="344">
        <v>46009</v>
      </c>
      <c r="G112" s="344"/>
      <c r="H112" s="344"/>
    </row>
    <row r="113" spans="1:8" ht="12.75">
      <c r="A113" s="340" t="s">
        <v>116</v>
      </c>
      <c r="B113" s="340">
        <v>20252140</v>
      </c>
      <c r="C113" s="340" t="s">
        <v>202</v>
      </c>
      <c r="D113" s="342">
        <v>2400</v>
      </c>
      <c r="E113" s="342">
        <f t="shared" si="2"/>
        <v>9600</v>
      </c>
      <c r="F113" s="344">
        <v>46009</v>
      </c>
      <c r="G113" s="344"/>
      <c r="H113" s="344"/>
    </row>
    <row r="114" spans="1:8" ht="12.75">
      <c r="A114" s="340" t="s">
        <v>116</v>
      </c>
      <c r="B114" s="340">
        <v>20252141</v>
      </c>
      <c r="C114" s="340" t="s">
        <v>202</v>
      </c>
      <c r="D114" s="342">
        <v>2400</v>
      </c>
      <c r="E114" s="342">
        <f t="shared" si="2"/>
        <v>9600</v>
      </c>
      <c r="F114" s="344">
        <v>46009</v>
      </c>
      <c r="G114" s="344"/>
      <c r="H114" s="344"/>
    </row>
    <row r="115" spans="1:8" ht="12.75">
      <c r="A115" s="340" t="s">
        <v>116</v>
      </c>
      <c r="B115" s="340">
        <v>20252142</v>
      </c>
      <c r="C115" s="340" t="s">
        <v>202</v>
      </c>
      <c r="D115" s="342">
        <v>2400</v>
      </c>
      <c r="E115" s="342">
        <f t="shared" si="2"/>
        <v>9600</v>
      </c>
      <c r="F115" s="344">
        <v>46009</v>
      </c>
      <c r="G115" s="344"/>
      <c r="H115" s="344"/>
    </row>
    <row r="116" spans="1:8" ht="12.75">
      <c r="A116" s="340" t="s">
        <v>116</v>
      </c>
      <c r="B116" s="340">
        <v>20252143</v>
      </c>
      <c r="C116" s="340" t="s">
        <v>202</v>
      </c>
      <c r="D116" s="342">
        <v>2400</v>
      </c>
      <c r="E116" s="342">
        <f t="shared" si="2"/>
        <v>9600</v>
      </c>
      <c r="F116" s="344">
        <v>46009</v>
      </c>
      <c r="G116" s="344"/>
      <c r="H116" s="344"/>
    </row>
    <row r="117" spans="1:8" ht="12.75">
      <c r="A117" s="340" t="s">
        <v>116</v>
      </c>
      <c r="B117" s="340">
        <v>20252147</v>
      </c>
      <c r="C117" s="340" t="s">
        <v>193</v>
      </c>
      <c r="D117" s="342">
        <v>2400</v>
      </c>
      <c r="E117" s="342">
        <f t="shared" si="2"/>
        <v>9600</v>
      </c>
      <c r="F117" s="344">
        <v>46009</v>
      </c>
      <c r="G117" s="344"/>
      <c r="H117" s="344"/>
    </row>
    <row r="118" spans="1:8" ht="12.75">
      <c r="A118" s="340" t="s">
        <v>116</v>
      </c>
      <c r="B118" s="340">
        <v>20252148</v>
      </c>
      <c r="C118" s="340" t="s">
        <v>193</v>
      </c>
      <c r="D118" s="342">
        <v>2400</v>
      </c>
      <c r="E118" s="342">
        <f t="shared" si="2"/>
        <v>9600</v>
      </c>
      <c r="F118" s="344">
        <v>46009</v>
      </c>
      <c r="G118" s="344"/>
      <c r="H118" s="344"/>
    </row>
    <row r="119" spans="1:8" ht="12.75">
      <c r="A119" s="340" t="s">
        <v>116</v>
      </c>
      <c r="B119" s="340">
        <v>20252149</v>
      </c>
      <c r="C119" s="340" t="s">
        <v>193</v>
      </c>
      <c r="D119" s="342">
        <v>2400</v>
      </c>
      <c r="E119" s="342">
        <f t="shared" si="2"/>
        <v>9600</v>
      </c>
      <c r="F119" s="344">
        <v>46009</v>
      </c>
      <c r="G119" s="344"/>
      <c r="H119" s="344"/>
    </row>
    <row r="120" spans="1:8" ht="12.75">
      <c r="A120" s="340" t="s">
        <v>116</v>
      </c>
      <c r="B120" s="340">
        <v>20252150</v>
      </c>
      <c r="C120" s="340" t="s">
        <v>193</v>
      </c>
      <c r="D120" s="342">
        <v>2400</v>
      </c>
      <c r="E120" s="342">
        <f t="shared" si="2"/>
        <v>9600</v>
      </c>
      <c r="F120" s="344">
        <v>46009</v>
      </c>
      <c r="G120" s="344"/>
      <c r="H120" s="344"/>
    </row>
    <row r="121" spans="1:8" ht="12.75">
      <c r="A121" s="340" t="s">
        <v>118</v>
      </c>
      <c r="B121" s="340">
        <v>20252270</v>
      </c>
      <c r="C121" s="340" t="s">
        <v>196</v>
      </c>
      <c r="D121" s="342">
        <v>319</v>
      </c>
      <c r="E121" s="342">
        <f t="shared" si="2"/>
        <v>1276</v>
      </c>
      <c r="F121" s="344"/>
      <c r="G121" s="344">
        <v>46027</v>
      </c>
      <c r="H121" s="344"/>
    </row>
    <row r="122" spans="1:8" ht="12.75">
      <c r="A122" s="340" t="s">
        <v>118</v>
      </c>
      <c r="B122" s="340">
        <v>20252270</v>
      </c>
      <c r="C122" s="340" t="s">
        <v>196</v>
      </c>
      <c r="D122" s="342">
        <v>1466</v>
      </c>
      <c r="E122" s="342">
        <f t="shared" si="2"/>
        <v>5864</v>
      </c>
      <c r="F122" s="344"/>
      <c r="G122" s="344">
        <v>46027</v>
      </c>
      <c r="H122" s="344"/>
    </row>
    <row r="123" spans="1:8" ht="12.75">
      <c r="A123" s="340" t="s">
        <v>118</v>
      </c>
      <c r="B123" s="340">
        <v>20252379</v>
      </c>
      <c r="C123" s="340" t="s">
        <v>196</v>
      </c>
      <c r="D123" s="342">
        <v>363</v>
      </c>
      <c r="E123" s="342">
        <f t="shared" si="2"/>
        <v>1452</v>
      </c>
      <c r="F123" s="344"/>
      <c r="G123" s="344">
        <v>46037</v>
      </c>
      <c r="H123" s="344"/>
    </row>
    <row r="124" spans="1:8" ht="12.75">
      <c r="A124" s="340" t="s">
        <v>118</v>
      </c>
      <c r="B124" s="340">
        <v>20252270</v>
      </c>
      <c r="C124" s="340" t="s">
        <v>197</v>
      </c>
      <c r="D124" s="342">
        <v>1502</v>
      </c>
      <c r="E124" s="342">
        <f t="shared" si="2"/>
        <v>6008</v>
      </c>
      <c r="F124" s="344"/>
      <c r="G124" s="344">
        <v>46027</v>
      </c>
      <c r="H124" s="344"/>
    </row>
    <row r="125" spans="1:8" ht="12.75">
      <c r="A125" s="340" t="s">
        <v>118</v>
      </c>
      <c r="B125" s="340">
        <v>20252270</v>
      </c>
      <c r="C125" s="340" t="s">
        <v>197</v>
      </c>
      <c r="D125" s="342">
        <v>90</v>
      </c>
      <c r="E125" s="342">
        <f t="shared" si="2"/>
        <v>360</v>
      </c>
      <c r="F125" s="344"/>
      <c r="G125" s="344">
        <v>46027</v>
      </c>
      <c r="H125" s="344"/>
    </row>
    <row r="126" spans="1:8" ht="12.75">
      <c r="A126" s="340" t="s">
        <v>118</v>
      </c>
      <c r="B126" s="340">
        <v>20252270</v>
      </c>
      <c r="C126" s="340" t="s">
        <v>203</v>
      </c>
      <c r="D126" s="342">
        <v>495</v>
      </c>
      <c r="E126" s="342">
        <f t="shared" si="2"/>
        <v>2970</v>
      </c>
      <c r="F126" s="344"/>
      <c r="G126" s="344">
        <v>46027</v>
      </c>
      <c r="H126" s="344"/>
    </row>
    <row r="127" spans="1:8" ht="12.75">
      <c r="A127" s="340" t="s">
        <v>118</v>
      </c>
      <c r="B127" s="340">
        <v>20252270</v>
      </c>
      <c r="C127" s="340" t="s">
        <v>208</v>
      </c>
      <c r="D127" s="342">
        <v>270</v>
      </c>
      <c r="E127" s="342">
        <f t="shared" si="2"/>
        <v>1620</v>
      </c>
      <c r="F127" s="344"/>
      <c r="G127" s="344">
        <v>46027</v>
      </c>
      <c r="H127" s="344"/>
    </row>
    <row r="128" spans="1:8" ht="12.75">
      <c r="A128" s="340" t="s">
        <v>118</v>
      </c>
      <c r="B128" s="340">
        <v>20252270</v>
      </c>
      <c r="C128" s="340" t="s">
        <v>207</v>
      </c>
      <c r="D128" s="342">
        <v>180</v>
      </c>
      <c r="E128" s="342">
        <f t="shared" si="2"/>
        <v>1080</v>
      </c>
      <c r="F128" s="344"/>
      <c r="G128" s="344">
        <v>46027</v>
      </c>
      <c r="H128" s="344"/>
    </row>
    <row r="129" spans="1:8" ht="12.75">
      <c r="A129" s="340" t="s">
        <v>120</v>
      </c>
      <c r="B129" s="340">
        <v>20252193</v>
      </c>
      <c r="C129" s="340" t="s">
        <v>210</v>
      </c>
      <c r="D129" s="342">
        <v>42</v>
      </c>
      <c r="E129" s="342">
        <f t="shared" si="2"/>
        <v>1008</v>
      </c>
      <c r="F129" s="344">
        <v>46013</v>
      </c>
      <c r="G129" s="344"/>
      <c r="H129" s="344"/>
    </row>
    <row r="130" spans="1:8" ht="12.75">
      <c r="A130" s="340" t="s">
        <v>216</v>
      </c>
      <c r="B130" s="340">
        <v>20252212</v>
      </c>
      <c r="C130" s="340" t="s">
        <v>202</v>
      </c>
      <c r="D130" s="342">
        <v>288</v>
      </c>
      <c r="E130" s="342">
        <f t="shared" si="2"/>
        <v>1152</v>
      </c>
      <c r="F130" s="344">
        <v>46013</v>
      </c>
      <c r="G130" s="344"/>
      <c r="H130" s="344"/>
    </row>
    <row r="131" spans="1:8" ht="12.75">
      <c r="A131" s="340" t="s">
        <v>216</v>
      </c>
      <c r="B131" s="340">
        <v>20252314</v>
      </c>
      <c r="C131" s="340" t="s">
        <v>202</v>
      </c>
      <c r="D131" s="342">
        <v>198</v>
      </c>
      <c r="E131" s="342">
        <f t="shared" si="2"/>
        <v>792</v>
      </c>
      <c r="F131" s="344"/>
      <c r="G131" s="344">
        <v>46025</v>
      </c>
      <c r="H131" s="344"/>
    </row>
    <row r="132" spans="1:8" ht="12.75">
      <c r="A132" s="340" t="s">
        <v>216</v>
      </c>
      <c r="B132" s="340">
        <v>20252316</v>
      </c>
      <c r="C132" s="340" t="s">
        <v>202</v>
      </c>
      <c r="D132" s="342">
        <v>2400</v>
      </c>
      <c r="E132" s="342">
        <f t="shared" si="2"/>
        <v>9600</v>
      </c>
      <c r="F132" s="344"/>
      <c r="G132" s="344">
        <v>46025</v>
      </c>
      <c r="H132" s="344"/>
    </row>
    <row r="133" spans="1:8" ht="12.75">
      <c r="A133" s="340" t="s">
        <v>216</v>
      </c>
      <c r="B133" s="340">
        <v>20252317</v>
      </c>
      <c r="C133" s="340" t="s">
        <v>202</v>
      </c>
      <c r="D133" s="342">
        <v>2400</v>
      </c>
      <c r="E133" s="342">
        <f t="shared" si="2"/>
        <v>9600</v>
      </c>
      <c r="F133" s="344"/>
      <c r="G133" s="344">
        <v>46025</v>
      </c>
      <c r="H133" s="344"/>
    </row>
    <row r="134" spans="1:8" ht="12.75">
      <c r="A134" s="340" t="s">
        <v>216</v>
      </c>
      <c r="B134" s="340">
        <v>20252314</v>
      </c>
      <c r="C134" s="340" t="s">
        <v>193</v>
      </c>
      <c r="D134" s="342">
        <v>1920</v>
      </c>
      <c r="E134" s="342">
        <f t="shared" si="2"/>
        <v>7680</v>
      </c>
      <c r="F134" s="344"/>
      <c r="G134" s="344">
        <v>46025</v>
      </c>
      <c r="H134" s="344"/>
    </row>
    <row r="135" spans="1:8" ht="12.75">
      <c r="A135" s="340" t="s">
        <v>216</v>
      </c>
      <c r="B135" s="340">
        <v>20252446</v>
      </c>
      <c r="C135" s="340" t="s">
        <v>193</v>
      </c>
      <c r="D135" s="342">
        <v>2400</v>
      </c>
      <c r="E135" s="342">
        <f t="shared" si="2"/>
        <v>9600</v>
      </c>
      <c r="F135" s="344"/>
      <c r="G135" s="344">
        <v>46039</v>
      </c>
      <c r="H135" s="344"/>
    </row>
    <row r="136" spans="1:8" ht="12.75">
      <c r="A136" s="340" t="s">
        <v>216</v>
      </c>
      <c r="B136" s="340">
        <v>20252447</v>
      </c>
      <c r="C136" s="340" t="s">
        <v>193</v>
      </c>
      <c r="D136" s="342">
        <v>938</v>
      </c>
      <c r="E136" s="342">
        <f t="shared" si="2"/>
        <v>3752</v>
      </c>
      <c r="F136" s="344"/>
      <c r="G136" s="344">
        <v>46039</v>
      </c>
      <c r="H136" s="344"/>
    </row>
    <row r="137" spans="1:8" ht="12.75">
      <c r="A137" s="340" t="s">
        <v>216</v>
      </c>
      <c r="B137" s="340">
        <v>20252614</v>
      </c>
      <c r="C137" s="340" t="s">
        <v>193</v>
      </c>
      <c r="D137" s="342">
        <v>960</v>
      </c>
      <c r="E137" s="342">
        <f t="shared" si="2"/>
        <v>3840</v>
      </c>
      <c r="F137" s="344"/>
      <c r="G137" s="344">
        <v>46063</v>
      </c>
      <c r="H137" s="344"/>
    </row>
    <row r="138" spans="1:8" ht="12.75">
      <c r="A138" s="340" t="s">
        <v>216</v>
      </c>
      <c r="B138" s="340">
        <v>20252314</v>
      </c>
      <c r="C138" s="340" t="s">
        <v>188</v>
      </c>
      <c r="D138" s="342">
        <v>66</v>
      </c>
      <c r="E138" s="342">
        <f t="shared" si="2"/>
        <v>264</v>
      </c>
      <c r="F138" s="344"/>
      <c r="G138" s="344">
        <v>46025</v>
      </c>
      <c r="H138" s="344"/>
    </row>
    <row r="139" spans="1:8" ht="12.75">
      <c r="A139" s="340" t="s">
        <v>216</v>
      </c>
      <c r="B139" s="340">
        <v>20252315</v>
      </c>
      <c r="C139" s="340" t="s">
        <v>188</v>
      </c>
      <c r="D139" s="342">
        <v>2400</v>
      </c>
      <c r="E139" s="342">
        <f t="shared" si="2"/>
        <v>9600</v>
      </c>
      <c r="F139" s="344"/>
      <c r="G139" s="344">
        <v>46025</v>
      </c>
      <c r="H139" s="344"/>
    </row>
    <row r="140" spans="1:8" ht="12.75">
      <c r="A140" s="340" t="s">
        <v>216</v>
      </c>
      <c r="B140" s="340">
        <v>20252447</v>
      </c>
      <c r="C140" s="340" t="s">
        <v>188</v>
      </c>
      <c r="D140" s="342">
        <v>96</v>
      </c>
      <c r="E140" s="342">
        <f t="shared" si="2"/>
        <v>384</v>
      </c>
      <c r="F140" s="344"/>
      <c r="G140" s="344">
        <v>46039</v>
      </c>
      <c r="H140" s="344"/>
    </row>
    <row r="141" spans="1:8" ht="12.75">
      <c r="A141" s="340" t="s">
        <v>216</v>
      </c>
      <c r="B141" s="340">
        <v>20252447</v>
      </c>
      <c r="C141" s="340" t="s">
        <v>187</v>
      </c>
      <c r="D141" s="342">
        <v>384</v>
      </c>
      <c r="E141" s="342">
        <f t="shared" si="2"/>
        <v>1536</v>
      </c>
      <c r="F141" s="344"/>
      <c r="G141" s="344">
        <v>46039</v>
      </c>
      <c r="H141" s="344"/>
    </row>
    <row r="142" spans="1:8" ht="12.75">
      <c r="A142" s="340" t="s">
        <v>123</v>
      </c>
      <c r="B142" s="340">
        <v>20252512</v>
      </c>
      <c r="C142" s="340" t="s">
        <v>203</v>
      </c>
      <c r="D142" s="342">
        <v>270</v>
      </c>
      <c r="E142" s="342">
        <f t="shared" si="2"/>
        <v>1620</v>
      </c>
      <c r="F142" s="344"/>
      <c r="G142" s="344">
        <v>46049</v>
      </c>
      <c r="H142" s="344"/>
    </row>
    <row r="143" spans="1:8" ht="12.75">
      <c r="A143" s="340" t="s">
        <v>123</v>
      </c>
      <c r="B143" s="340">
        <v>20252512</v>
      </c>
      <c r="C143" s="340" t="s">
        <v>208</v>
      </c>
      <c r="D143" s="342">
        <v>180</v>
      </c>
      <c r="E143" s="342">
        <f t="shared" si="2"/>
        <v>1080</v>
      </c>
      <c r="F143" s="344"/>
      <c r="G143" s="344">
        <v>46049</v>
      </c>
      <c r="H143" s="344"/>
    </row>
    <row r="144" spans="1:8" ht="12.75">
      <c r="A144" s="340" t="s">
        <v>123</v>
      </c>
      <c r="B144" s="340"/>
      <c r="C144" s="340" t="s">
        <v>195</v>
      </c>
      <c r="D144" s="342">
        <v>45</v>
      </c>
      <c r="E144" s="342">
        <f t="shared" si="2"/>
        <v>270</v>
      </c>
      <c r="F144" s="344"/>
      <c r="G144" s="344">
        <v>46091</v>
      </c>
      <c r="H144" s="344"/>
    </row>
    <row r="145" spans="1:8" ht="12.75">
      <c r="A145" s="340" t="s">
        <v>123</v>
      </c>
      <c r="B145" s="340">
        <v>20252512</v>
      </c>
      <c r="C145" s="340" t="s">
        <v>207</v>
      </c>
      <c r="D145" s="342">
        <v>45</v>
      </c>
      <c r="E145" s="342">
        <f t="shared" si="2"/>
        <v>270</v>
      </c>
      <c r="F145" s="344"/>
      <c r="G145" s="344">
        <v>46049</v>
      </c>
      <c r="H145" s="344"/>
    </row>
    <row r="146" spans="1:8" ht="12.75">
      <c r="A146" s="340" t="s">
        <v>123</v>
      </c>
      <c r="B146" s="340">
        <v>20252512</v>
      </c>
      <c r="C146" s="340" t="s">
        <v>196</v>
      </c>
      <c r="D146" s="342">
        <v>450</v>
      </c>
      <c r="E146" s="342">
        <f t="shared" si="2"/>
        <v>1800</v>
      </c>
      <c r="F146" s="344"/>
      <c r="G146" s="344">
        <v>46049</v>
      </c>
      <c r="H146" s="344"/>
    </row>
    <row r="147" spans="1:8" ht="12.75">
      <c r="A147" s="340" t="s">
        <v>123</v>
      </c>
      <c r="B147" s="340">
        <v>20252512</v>
      </c>
      <c r="C147" s="340" t="s">
        <v>197</v>
      </c>
      <c r="D147" s="342">
        <v>448</v>
      </c>
      <c r="E147" s="342">
        <f t="shared" si="2"/>
        <v>1792</v>
      </c>
      <c r="F147" s="344"/>
      <c r="G147" s="344">
        <v>46049</v>
      </c>
      <c r="H147" s="344"/>
    </row>
    <row r="148" spans="1:8" ht="12.75">
      <c r="A148" s="340" t="s">
        <v>216</v>
      </c>
      <c r="B148" s="340">
        <v>20252532</v>
      </c>
      <c r="C148" s="340" t="s">
        <v>202</v>
      </c>
      <c r="D148" s="342">
        <v>864</v>
      </c>
      <c r="E148" s="342">
        <f t="shared" si="2"/>
        <v>3456</v>
      </c>
      <c r="F148" s="344"/>
      <c r="G148" s="344">
        <v>46063</v>
      </c>
      <c r="H148" s="344"/>
    </row>
    <row r="149" spans="1:8" ht="12.75">
      <c r="A149" s="340" t="s">
        <v>216</v>
      </c>
      <c r="B149" s="340">
        <v>20252614</v>
      </c>
      <c r="C149" s="340" t="s">
        <v>202</v>
      </c>
      <c r="D149" s="342">
        <v>288</v>
      </c>
      <c r="E149" s="342">
        <f t="shared" si="2"/>
        <v>1152</v>
      </c>
      <c r="F149" s="344"/>
      <c r="G149" s="344">
        <v>46063</v>
      </c>
      <c r="H149" s="344"/>
    </row>
    <row r="150" spans="1:8" ht="12.75">
      <c r="A150" s="340" t="s">
        <v>216</v>
      </c>
      <c r="B150" s="340">
        <v>20252615</v>
      </c>
      <c r="C150" s="340" t="s">
        <v>202</v>
      </c>
      <c r="D150" s="342">
        <v>2400</v>
      </c>
      <c r="E150" s="342">
        <f t="shared" si="2"/>
        <v>9600</v>
      </c>
      <c r="F150" s="344"/>
      <c r="G150" s="344">
        <v>46063</v>
      </c>
      <c r="H150" s="344"/>
    </row>
    <row r="151" spans="1:8" ht="12.75">
      <c r="A151" s="340" t="s">
        <v>216</v>
      </c>
      <c r="B151" s="340">
        <v>20252616</v>
      </c>
      <c r="C151" s="340" t="s">
        <v>202</v>
      </c>
      <c r="D151" s="342">
        <v>96</v>
      </c>
      <c r="E151" s="342">
        <f t="shared" si="2"/>
        <v>384</v>
      </c>
      <c r="F151" s="344"/>
      <c r="G151" s="344">
        <v>46063</v>
      </c>
      <c r="H151" s="344"/>
    </row>
    <row r="152" spans="1:8" ht="12.75">
      <c r="A152" s="340" t="s">
        <v>216</v>
      </c>
      <c r="B152" s="340">
        <v>20252617</v>
      </c>
      <c r="C152" s="340" t="s">
        <v>202</v>
      </c>
      <c r="D152" s="342">
        <v>2400</v>
      </c>
      <c r="E152" s="342">
        <f t="shared" si="2"/>
        <v>9600</v>
      </c>
      <c r="F152" s="344"/>
      <c r="G152" s="344">
        <v>46063</v>
      </c>
      <c r="H152" s="344"/>
    </row>
    <row r="153" spans="1:8" ht="12.75">
      <c r="A153" s="340" t="s">
        <v>216</v>
      </c>
      <c r="B153" s="340">
        <v>20252613</v>
      </c>
      <c r="C153" s="340" t="s">
        <v>193</v>
      </c>
      <c r="D153" s="342">
        <v>2400</v>
      </c>
      <c r="E153" s="342">
        <f t="shared" si="2"/>
        <v>9600</v>
      </c>
      <c r="F153" s="344"/>
      <c r="G153" s="344">
        <v>46063</v>
      </c>
      <c r="H153" s="344"/>
    </row>
    <row r="154" spans="1:8" ht="12.75">
      <c r="A154" s="340" t="s">
        <v>216</v>
      </c>
      <c r="B154" s="340">
        <v>20252616</v>
      </c>
      <c r="C154" s="340" t="s">
        <v>193</v>
      </c>
      <c r="D154" s="342">
        <v>2223</v>
      </c>
      <c r="E154" s="342">
        <f t="shared" si="2"/>
        <v>8892</v>
      </c>
      <c r="F154" s="344"/>
      <c r="G154" s="344">
        <v>46063</v>
      </c>
      <c r="H154" s="344"/>
    </row>
    <row r="155" spans="1:8" ht="12.75">
      <c r="A155" s="340" t="s">
        <v>216</v>
      </c>
      <c r="B155" s="340">
        <v>20252618</v>
      </c>
      <c r="C155" s="340" t="s">
        <v>193</v>
      </c>
      <c r="D155" s="342">
        <v>1824</v>
      </c>
      <c r="E155" s="342">
        <f t="shared" si="2"/>
        <v>7296</v>
      </c>
      <c r="F155" s="344"/>
      <c r="G155" s="344">
        <v>46063</v>
      </c>
      <c r="H155" s="344"/>
    </row>
    <row r="156" spans="1:8" ht="12.75">
      <c r="A156" s="340" t="s">
        <v>216</v>
      </c>
      <c r="B156" s="340">
        <v>20252447</v>
      </c>
      <c r="C156" s="340" t="s">
        <v>188</v>
      </c>
      <c r="D156" s="342">
        <v>864</v>
      </c>
      <c r="E156" s="342">
        <f t="shared" si="2"/>
        <v>3456</v>
      </c>
      <c r="F156" s="344"/>
      <c r="G156" s="344">
        <v>46039</v>
      </c>
      <c r="H156" s="344"/>
    </row>
    <row r="157" spans="1:8" ht="12.75">
      <c r="A157" s="340" t="s">
        <v>216</v>
      </c>
      <c r="B157" s="340">
        <v>20252532</v>
      </c>
      <c r="C157" s="340" t="s">
        <v>188</v>
      </c>
      <c r="D157" s="342">
        <v>833</v>
      </c>
      <c r="E157" s="342">
        <f t="shared" si="2"/>
        <v>3332</v>
      </c>
      <c r="F157" s="344"/>
      <c r="G157" s="344">
        <v>46063</v>
      </c>
      <c r="H157" s="344"/>
    </row>
    <row r="158" spans="1:8" ht="12.75">
      <c r="A158" s="340" t="s">
        <v>216</v>
      </c>
      <c r="B158" s="340">
        <v>20252614</v>
      </c>
      <c r="C158" s="340" t="s">
        <v>188</v>
      </c>
      <c r="D158" s="342">
        <v>1076</v>
      </c>
      <c r="E158" s="342">
        <f t="shared" si="2"/>
        <v>4304</v>
      </c>
      <c r="F158" s="344"/>
      <c r="G158" s="344">
        <v>46063</v>
      </c>
      <c r="H158" s="344"/>
    </row>
    <row r="159" spans="1:8" ht="12.75">
      <c r="A159" s="340" t="s">
        <v>216</v>
      </c>
      <c r="B159" s="340">
        <v>20252532</v>
      </c>
      <c r="C159" s="340" t="s">
        <v>187</v>
      </c>
      <c r="D159" s="342">
        <v>522</v>
      </c>
      <c r="E159" s="342">
        <f t="shared" si="2"/>
        <v>2088</v>
      </c>
      <c r="F159" s="344"/>
      <c r="G159" s="344">
        <v>46063</v>
      </c>
      <c r="H159" s="344"/>
    </row>
    <row r="160" spans="1:8" ht="12.75">
      <c r="A160" s="340" t="s">
        <v>216</v>
      </c>
      <c r="B160" s="340">
        <v>20252618</v>
      </c>
      <c r="C160" s="340" t="s">
        <v>187</v>
      </c>
      <c r="D160" s="342">
        <v>517</v>
      </c>
      <c r="E160" s="342">
        <f t="shared" si="2"/>
        <v>2068</v>
      </c>
      <c r="F160" s="344"/>
      <c r="G160" s="344">
        <v>46063</v>
      </c>
      <c r="H160" s="344"/>
    </row>
    <row r="161" spans="1:8" ht="12.75">
      <c r="A161" s="340" t="s">
        <v>123</v>
      </c>
      <c r="B161" s="340">
        <v>20252692</v>
      </c>
      <c r="C161" s="340" t="s">
        <v>203</v>
      </c>
      <c r="D161" s="342">
        <v>370</v>
      </c>
      <c r="E161" s="342">
        <f t="shared" si="2"/>
        <v>2220</v>
      </c>
      <c r="F161" s="344"/>
      <c r="G161" s="344">
        <v>46063</v>
      </c>
      <c r="H161" s="344"/>
    </row>
    <row r="162" spans="1:8" ht="12.75">
      <c r="A162" s="340" t="s">
        <v>123</v>
      </c>
      <c r="B162" s="340">
        <v>20252692</v>
      </c>
      <c r="C162" s="340" t="s">
        <v>208</v>
      </c>
      <c r="D162" s="342">
        <v>180</v>
      </c>
      <c r="E162" s="342">
        <f t="shared" si="2"/>
        <v>1080</v>
      </c>
      <c r="F162" s="344"/>
      <c r="G162" s="344">
        <v>46063</v>
      </c>
      <c r="H162" s="344"/>
    </row>
    <row r="163" spans="1:8" ht="12.75">
      <c r="A163" s="340" t="s">
        <v>123</v>
      </c>
      <c r="B163" s="340">
        <v>20252692</v>
      </c>
      <c r="C163" s="340" t="s">
        <v>195</v>
      </c>
      <c r="D163" s="342">
        <v>90</v>
      </c>
      <c r="E163" s="342">
        <f t="shared" si="2"/>
        <v>540</v>
      </c>
      <c r="F163" s="344"/>
      <c r="G163" s="344">
        <v>46063</v>
      </c>
      <c r="H163" s="344"/>
    </row>
    <row r="164" spans="1:8" ht="12.75">
      <c r="A164" s="340" t="s">
        <v>123</v>
      </c>
      <c r="B164" s="340">
        <v>20252692</v>
      </c>
      <c r="C164" s="340" t="s">
        <v>207</v>
      </c>
      <c r="D164" s="342">
        <v>90</v>
      </c>
      <c r="E164" s="342">
        <f t="shared" si="2"/>
        <v>540</v>
      </c>
      <c r="F164" s="344"/>
      <c r="G164" s="344">
        <v>46063</v>
      </c>
      <c r="H164" s="344"/>
    </row>
    <row r="165" spans="1:8" ht="12.75">
      <c r="A165" s="340" t="s">
        <v>123</v>
      </c>
      <c r="B165" s="340">
        <v>20252681</v>
      </c>
      <c r="C165" s="340" t="s">
        <v>196</v>
      </c>
      <c r="D165" s="342">
        <v>1167</v>
      </c>
      <c r="E165" s="342">
        <f t="shared" si="2"/>
        <v>4668</v>
      </c>
      <c r="F165" s="344"/>
      <c r="G165" s="344">
        <v>46056</v>
      </c>
      <c r="H165" s="344"/>
    </row>
    <row r="166" spans="1:8" ht="12.75">
      <c r="A166" s="340" t="s">
        <v>123</v>
      </c>
      <c r="B166" s="340">
        <v>20252512</v>
      </c>
      <c r="C166" s="340" t="s">
        <v>197</v>
      </c>
      <c r="D166" s="342">
        <v>90</v>
      </c>
      <c r="E166" s="342">
        <f t="shared" si="2"/>
        <v>360</v>
      </c>
      <c r="F166" s="344"/>
      <c r="G166" s="344">
        <v>46056</v>
      </c>
      <c r="H166" s="344"/>
    </row>
    <row r="167" spans="1:8" ht="12.75">
      <c r="A167" s="340" t="s">
        <v>123</v>
      </c>
      <c r="B167" s="340">
        <v>20252681</v>
      </c>
      <c r="C167" s="340" t="s">
        <v>197</v>
      </c>
      <c r="D167" s="342">
        <v>567</v>
      </c>
      <c r="E167" s="342">
        <f t="shared" si="2"/>
        <v>2268</v>
      </c>
      <c r="F167" s="344"/>
      <c r="G167" s="344">
        <v>46063</v>
      </c>
      <c r="H167" s="344"/>
    </row>
    <row r="168" spans="1:8" ht="12.75">
      <c r="A168" s="340" t="s">
        <v>123</v>
      </c>
      <c r="B168" s="340">
        <v>20252692</v>
      </c>
      <c r="C168" s="340" t="s">
        <v>197</v>
      </c>
      <c r="D168" s="342">
        <v>570</v>
      </c>
      <c r="E168" s="342">
        <f t="shared" si="2"/>
        <v>2280</v>
      </c>
      <c r="F168" s="344"/>
      <c r="G168" s="344">
        <v>46063</v>
      </c>
      <c r="H168" s="344"/>
    </row>
    <row r="169" spans="1:8" ht="12.75">
      <c r="A169" s="340" t="s">
        <v>217</v>
      </c>
      <c r="B169" s="340">
        <v>20252705</v>
      </c>
      <c r="C169" s="340" t="s">
        <v>212</v>
      </c>
      <c r="D169" s="342">
        <v>143</v>
      </c>
      <c r="E169" s="342">
        <f t="shared" ref="E169:E174" si="3">D169*24</f>
        <v>3432</v>
      </c>
      <c r="F169" s="344"/>
      <c r="G169" s="344">
        <v>46027</v>
      </c>
      <c r="H169" s="344"/>
    </row>
    <row r="170" spans="1:8" ht="12.75">
      <c r="A170" s="340" t="s">
        <v>217</v>
      </c>
      <c r="B170" s="340">
        <v>20252705</v>
      </c>
      <c r="C170" s="340" t="s">
        <v>213</v>
      </c>
      <c r="D170" s="342">
        <v>143</v>
      </c>
      <c r="E170" s="342">
        <f t="shared" si="3"/>
        <v>3432</v>
      </c>
      <c r="F170" s="344"/>
      <c r="G170" s="344">
        <v>46027</v>
      </c>
      <c r="H170" s="344"/>
    </row>
    <row r="171" spans="1:8" ht="12.75">
      <c r="A171" s="340" t="s">
        <v>217</v>
      </c>
      <c r="B171" s="340">
        <v>20252705</v>
      </c>
      <c r="C171" s="340" t="s">
        <v>214</v>
      </c>
      <c r="D171" s="342">
        <v>143</v>
      </c>
      <c r="E171" s="342">
        <f t="shared" si="3"/>
        <v>3432</v>
      </c>
      <c r="F171" s="344"/>
      <c r="G171" s="344">
        <v>46027</v>
      </c>
      <c r="H171" s="344"/>
    </row>
    <row r="172" spans="1:8" ht="12.75">
      <c r="A172" s="340" t="s">
        <v>217</v>
      </c>
      <c r="B172" s="340">
        <v>20252705</v>
      </c>
      <c r="C172" s="340" t="s">
        <v>215</v>
      </c>
      <c r="D172" s="342">
        <v>143</v>
      </c>
      <c r="E172" s="342">
        <f t="shared" si="3"/>
        <v>3432</v>
      </c>
      <c r="F172" s="344"/>
      <c r="G172" s="344">
        <v>46027</v>
      </c>
      <c r="H172" s="344"/>
    </row>
    <row r="173" spans="1:8" ht="12.75">
      <c r="A173" s="340" t="s">
        <v>218</v>
      </c>
      <c r="B173" s="340"/>
      <c r="C173" s="340" t="s">
        <v>212</v>
      </c>
      <c r="D173" s="342">
        <v>286</v>
      </c>
      <c r="E173" s="342">
        <f t="shared" si="3"/>
        <v>6864</v>
      </c>
      <c r="F173" s="344"/>
      <c r="G173" s="344">
        <v>46112</v>
      </c>
      <c r="H173" s="344"/>
    </row>
    <row r="174" spans="1:8" ht="12.75">
      <c r="A174" s="340" t="s">
        <v>218</v>
      </c>
      <c r="B174" s="340"/>
      <c r="C174" s="340" t="s">
        <v>213</v>
      </c>
      <c r="D174" s="342">
        <v>286</v>
      </c>
      <c r="E174" s="342">
        <f t="shared" si="3"/>
        <v>6864</v>
      </c>
      <c r="F174" s="344"/>
      <c r="G174" s="344">
        <v>46112</v>
      </c>
      <c r="H174" s="344"/>
    </row>
    <row r="175" spans="1:8" ht="12.75">
      <c r="A175" s="340" t="s">
        <v>125</v>
      </c>
      <c r="B175" s="340"/>
      <c r="C175" s="340" t="s">
        <v>187</v>
      </c>
      <c r="D175" s="342">
        <v>1440</v>
      </c>
      <c r="E175" s="342">
        <f t="shared" ref="E175:E191" si="4">MID(C175,SEARCH("x",C175)-2,2)*D175</f>
        <v>5760</v>
      </c>
      <c r="F175" s="344"/>
      <c r="G175" s="344">
        <v>46105</v>
      </c>
      <c r="H175" s="344"/>
    </row>
    <row r="176" spans="1:8" ht="12.75">
      <c r="A176" s="340" t="s">
        <v>125</v>
      </c>
      <c r="B176" s="340"/>
      <c r="C176" s="340" t="s">
        <v>188</v>
      </c>
      <c r="D176" s="342">
        <v>7296</v>
      </c>
      <c r="E176" s="342">
        <f t="shared" si="4"/>
        <v>29184</v>
      </c>
      <c r="F176" s="344"/>
      <c r="G176" s="344">
        <v>46105</v>
      </c>
      <c r="H176" s="344"/>
    </row>
    <row r="177" spans="1:8" ht="12.75">
      <c r="A177" s="340" t="s">
        <v>125</v>
      </c>
      <c r="B177" s="340"/>
      <c r="C177" s="340" t="s">
        <v>202</v>
      </c>
      <c r="D177" s="342">
        <v>2112</v>
      </c>
      <c r="E177" s="342">
        <f t="shared" si="4"/>
        <v>8448</v>
      </c>
      <c r="F177" s="344"/>
      <c r="G177" s="344">
        <v>46105</v>
      </c>
      <c r="H177" s="344"/>
    </row>
    <row r="178" spans="1:8" ht="12.75">
      <c r="A178" s="340" t="s">
        <v>125</v>
      </c>
      <c r="B178" s="340"/>
      <c r="C178" s="340" t="s">
        <v>193</v>
      </c>
      <c r="D178" s="342">
        <v>3552</v>
      </c>
      <c r="E178" s="342">
        <f t="shared" si="4"/>
        <v>14208</v>
      </c>
      <c r="F178" s="344"/>
      <c r="G178" s="344">
        <v>46105</v>
      </c>
      <c r="H178" s="344"/>
    </row>
    <row r="179" spans="1:8" ht="12.75">
      <c r="A179" s="340" t="s">
        <v>126</v>
      </c>
      <c r="B179" s="340"/>
      <c r="C179" s="340" t="s">
        <v>196</v>
      </c>
      <c r="D179" s="342">
        <v>1800</v>
      </c>
      <c r="E179" s="342">
        <f t="shared" si="4"/>
        <v>7200</v>
      </c>
      <c r="F179" s="344"/>
      <c r="G179" s="344">
        <v>46112</v>
      </c>
      <c r="H179" s="344"/>
    </row>
    <row r="180" spans="1:8" ht="12.75">
      <c r="A180" s="340" t="s">
        <v>126</v>
      </c>
      <c r="B180" s="340"/>
      <c r="C180" s="340" t="s">
        <v>197</v>
      </c>
      <c r="D180" s="342">
        <v>2160</v>
      </c>
      <c r="E180" s="342">
        <f t="shared" si="4"/>
        <v>8640</v>
      </c>
      <c r="F180" s="344"/>
      <c r="G180" s="344">
        <v>46112</v>
      </c>
      <c r="H180" s="344"/>
    </row>
    <row r="181" spans="1:8" ht="12.75">
      <c r="A181" s="340" t="s">
        <v>126</v>
      </c>
      <c r="B181" s="340"/>
      <c r="C181" s="340" t="s">
        <v>203</v>
      </c>
      <c r="D181" s="342">
        <v>630</v>
      </c>
      <c r="E181" s="342">
        <f t="shared" si="4"/>
        <v>3780</v>
      </c>
      <c r="F181" s="344"/>
      <c r="G181" s="344">
        <v>46091</v>
      </c>
      <c r="H181" s="344"/>
    </row>
    <row r="182" spans="1:8" ht="12.75">
      <c r="A182" s="340" t="s">
        <v>126</v>
      </c>
      <c r="B182" s="340"/>
      <c r="C182" s="340" t="s">
        <v>208</v>
      </c>
      <c r="D182" s="342">
        <v>675</v>
      </c>
      <c r="E182" s="342">
        <f t="shared" si="4"/>
        <v>4050</v>
      </c>
      <c r="F182" s="344"/>
      <c r="G182" s="344">
        <v>46091</v>
      </c>
      <c r="H182" s="344"/>
    </row>
    <row r="183" spans="1:8" ht="12.75">
      <c r="A183" s="340" t="s">
        <v>126</v>
      </c>
      <c r="B183" s="340"/>
      <c r="C183" s="340" t="s">
        <v>195</v>
      </c>
      <c r="D183" s="342">
        <v>585</v>
      </c>
      <c r="E183" s="342">
        <f t="shared" si="4"/>
        <v>3510</v>
      </c>
      <c r="F183" s="344"/>
      <c r="G183" s="344">
        <v>46112</v>
      </c>
      <c r="H183" s="344"/>
    </row>
    <row r="184" spans="1:8" ht="12.75">
      <c r="A184" s="340" t="s">
        <v>126</v>
      </c>
      <c r="B184" s="340"/>
      <c r="C184" s="340" t="s">
        <v>207</v>
      </c>
      <c r="D184" s="342">
        <v>90</v>
      </c>
      <c r="E184" s="342">
        <f t="shared" si="4"/>
        <v>540</v>
      </c>
      <c r="F184" s="344"/>
      <c r="G184" s="344">
        <v>46112</v>
      </c>
      <c r="H184" s="344"/>
    </row>
    <row r="185" spans="1:8" ht="12.75">
      <c r="A185" s="340" t="s">
        <v>221</v>
      </c>
      <c r="B185" s="340"/>
      <c r="C185" s="340" t="s">
        <v>202</v>
      </c>
      <c r="D185" s="342">
        <v>5664</v>
      </c>
      <c r="E185" s="342">
        <f t="shared" si="4"/>
        <v>22656</v>
      </c>
      <c r="F185" s="344"/>
      <c r="G185" s="344">
        <v>46140</v>
      </c>
      <c r="H185" s="344"/>
    </row>
    <row r="186" spans="1:8" ht="12.75">
      <c r="A186" s="340" t="s">
        <v>221</v>
      </c>
      <c r="B186" s="340"/>
      <c r="C186" s="340" t="s">
        <v>193</v>
      </c>
      <c r="D186" s="342">
        <v>6048</v>
      </c>
      <c r="E186" s="342">
        <f t="shared" si="4"/>
        <v>24192</v>
      </c>
      <c r="F186" s="344"/>
      <c r="G186" s="344">
        <v>46140</v>
      </c>
      <c r="H186" s="344"/>
    </row>
    <row r="187" spans="1:8" ht="12.75">
      <c r="A187" s="340" t="s">
        <v>129</v>
      </c>
      <c r="B187" s="340"/>
      <c r="C187" s="340" t="s">
        <v>196</v>
      </c>
      <c r="D187" s="342">
        <v>360</v>
      </c>
      <c r="E187" s="342">
        <f t="shared" si="4"/>
        <v>1440</v>
      </c>
      <c r="F187" s="344"/>
      <c r="G187" s="344">
        <v>46140</v>
      </c>
      <c r="H187" s="344"/>
    </row>
    <row r="188" spans="1:8" ht="12.75">
      <c r="A188" s="340" t="s">
        <v>129</v>
      </c>
      <c r="B188" s="340"/>
      <c r="C188" s="340" t="s">
        <v>197</v>
      </c>
      <c r="D188" s="342">
        <v>1980</v>
      </c>
      <c r="E188" s="342">
        <f t="shared" si="4"/>
        <v>7920</v>
      </c>
      <c r="F188" s="344"/>
      <c r="G188" s="344">
        <v>46140</v>
      </c>
      <c r="H188" s="344"/>
    </row>
    <row r="189" spans="1:8" ht="12.75">
      <c r="A189" s="340" t="s">
        <v>129</v>
      </c>
      <c r="B189" s="340"/>
      <c r="C189" s="340" t="s">
        <v>208</v>
      </c>
      <c r="D189" s="342">
        <v>630</v>
      </c>
      <c r="E189" s="342">
        <f t="shared" si="4"/>
        <v>3780</v>
      </c>
      <c r="F189" s="344"/>
      <c r="G189" s="344">
        <v>46140</v>
      </c>
      <c r="H189" s="344"/>
    </row>
    <row r="190" spans="1:8" ht="12.75">
      <c r="A190" s="340" t="s">
        <v>129</v>
      </c>
      <c r="B190" s="340"/>
      <c r="C190" s="340" t="s">
        <v>207</v>
      </c>
      <c r="D190" s="342">
        <v>180</v>
      </c>
      <c r="E190" s="342">
        <f t="shared" si="4"/>
        <v>1080</v>
      </c>
      <c r="F190" s="344"/>
      <c r="G190" s="344">
        <v>46140</v>
      </c>
      <c r="H190" s="344"/>
    </row>
    <row r="191" spans="1:8" ht="12.75">
      <c r="A191" s="340" t="s">
        <v>222</v>
      </c>
      <c r="B191" s="340"/>
      <c r="C191" s="340" t="s">
        <v>199</v>
      </c>
      <c r="D191" s="342">
        <v>84</v>
      </c>
      <c r="E191" s="342">
        <f t="shared" si="4"/>
        <v>2016</v>
      </c>
      <c r="F191" s="344"/>
      <c r="G191" s="344">
        <v>46140</v>
      </c>
      <c r="H191" s="344"/>
    </row>
    <row r="192" spans="1:8" ht="12.75">
      <c r="A192" s="340" t="s">
        <v>223</v>
      </c>
      <c r="B192" s="340"/>
      <c r="C192" s="340" t="s">
        <v>212</v>
      </c>
      <c r="D192" s="342">
        <v>143</v>
      </c>
      <c r="E192" s="342">
        <f t="shared" ref="E192:E195" si="5">D192*24</f>
        <v>3432</v>
      </c>
      <c r="F192" s="344"/>
      <c r="G192" s="344">
        <v>46168</v>
      </c>
      <c r="H192" s="344"/>
    </row>
    <row r="193" spans="1:8" ht="12.75">
      <c r="A193" s="340" t="s">
        <v>223</v>
      </c>
      <c r="B193" s="340"/>
      <c r="C193" s="340" t="s">
        <v>213</v>
      </c>
      <c r="D193" s="342">
        <v>143</v>
      </c>
      <c r="E193" s="342">
        <f t="shared" si="5"/>
        <v>3432</v>
      </c>
      <c r="F193" s="344"/>
      <c r="G193" s="344">
        <v>46168</v>
      </c>
      <c r="H193" s="344"/>
    </row>
    <row r="194" spans="1:8" ht="12.75">
      <c r="A194" s="340" t="s">
        <v>223</v>
      </c>
      <c r="B194" s="340"/>
      <c r="C194" s="340" t="s">
        <v>214</v>
      </c>
      <c r="D194" s="342">
        <v>143</v>
      </c>
      <c r="E194" s="342">
        <f t="shared" si="5"/>
        <v>3432</v>
      </c>
      <c r="F194" s="344"/>
      <c r="G194" s="344">
        <v>46168</v>
      </c>
      <c r="H194" s="344"/>
    </row>
    <row r="195" spans="1:8" ht="12.75">
      <c r="A195" s="340" t="s">
        <v>223</v>
      </c>
      <c r="B195" s="340"/>
      <c r="C195" s="340" t="s">
        <v>215</v>
      </c>
      <c r="D195" s="342">
        <v>143</v>
      </c>
      <c r="E195" s="342">
        <f t="shared" si="5"/>
        <v>3432</v>
      </c>
      <c r="F195" s="344"/>
      <c r="G195" s="344">
        <v>46168</v>
      </c>
      <c r="H195" s="344"/>
    </row>
    <row r="196" spans="1:8" ht="12.75">
      <c r="F196" s="389"/>
      <c r="G196" s="389"/>
    </row>
    <row r="197" spans="1:8" ht="12.75">
      <c r="F197" s="389"/>
      <c r="G197" s="389"/>
    </row>
    <row r="198" spans="1:8" ht="12.75">
      <c r="F198" s="389"/>
      <c r="G198" s="389"/>
    </row>
    <row r="199" spans="1:8" ht="12.75">
      <c r="F199" s="389"/>
      <c r="G199" s="389"/>
    </row>
    <row r="200" spans="1:8" ht="12.75">
      <c r="F200" s="389"/>
      <c r="G200" s="389"/>
    </row>
    <row r="201" spans="1:8" ht="12.75">
      <c r="F201" s="389"/>
      <c r="G201" s="389"/>
    </row>
    <row r="202" spans="1:8" ht="12.75">
      <c r="F202" s="389"/>
      <c r="G202" s="389"/>
    </row>
    <row r="203" spans="1:8" ht="12.75">
      <c r="F203" s="389"/>
      <c r="G203" s="389"/>
    </row>
    <row r="204" spans="1:8" ht="12.75">
      <c r="F204" s="389"/>
      <c r="G204" s="389"/>
    </row>
    <row r="205" spans="1:8" ht="12.75">
      <c r="F205" s="389"/>
      <c r="G205" s="389"/>
    </row>
    <row r="206" spans="1:8" ht="12.75">
      <c r="F206" s="389"/>
      <c r="G206" s="389"/>
    </row>
    <row r="207" spans="1:8" ht="12.75">
      <c r="F207" s="389"/>
      <c r="G207" s="389"/>
    </row>
    <row r="208" spans="1:8" ht="12.75">
      <c r="F208" s="389"/>
      <c r="G208" s="389"/>
    </row>
    <row r="209" spans="6:7" ht="12.75">
      <c r="F209" s="389"/>
      <c r="G209" s="389"/>
    </row>
    <row r="210" spans="6:7" ht="12.75">
      <c r="F210" s="389"/>
      <c r="G210" s="389"/>
    </row>
    <row r="211" spans="6:7" ht="12.75">
      <c r="F211" s="389"/>
      <c r="G211" s="389"/>
    </row>
    <row r="212" spans="6:7" ht="12.75">
      <c r="F212" s="389"/>
      <c r="G212" s="389"/>
    </row>
    <row r="213" spans="6:7" ht="12.75">
      <c r="F213" s="389"/>
      <c r="G213" s="389"/>
    </row>
    <row r="214" spans="6:7" ht="12.75">
      <c r="F214" s="389"/>
      <c r="G214" s="389"/>
    </row>
    <row r="215" spans="6:7" ht="12.75">
      <c r="F215" s="389"/>
      <c r="G215" s="389"/>
    </row>
    <row r="216" spans="6:7" ht="12.75">
      <c r="F216" s="389"/>
      <c r="G216" s="389"/>
    </row>
    <row r="217" spans="6:7" ht="12.75">
      <c r="F217" s="389"/>
      <c r="G217" s="389"/>
    </row>
    <row r="218" spans="6:7" ht="12.75">
      <c r="F218" s="389"/>
      <c r="G218" s="389"/>
    </row>
    <row r="219" spans="6:7" ht="12.75">
      <c r="F219" s="389"/>
      <c r="G219" s="389"/>
    </row>
    <row r="220" spans="6:7" ht="12.75">
      <c r="F220" s="389"/>
      <c r="G220" s="389"/>
    </row>
    <row r="221" spans="6:7" ht="12.75">
      <c r="F221" s="389"/>
      <c r="G221" s="389"/>
    </row>
    <row r="222" spans="6:7" ht="12.75">
      <c r="F222" s="389"/>
      <c r="G222" s="389"/>
    </row>
    <row r="223" spans="6:7" ht="12.75">
      <c r="F223" s="389"/>
      <c r="G223" s="389"/>
    </row>
    <row r="224" spans="6:7" ht="12.75">
      <c r="F224" s="389"/>
      <c r="G224" s="389"/>
    </row>
    <row r="225" spans="6:7" ht="12.75">
      <c r="F225" s="389"/>
      <c r="G225" s="389"/>
    </row>
    <row r="226" spans="6:7" ht="12.75">
      <c r="F226" s="389"/>
      <c r="G226" s="389"/>
    </row>
    <row r="227" spans="6:7" ht="12.75">
      <c r="F227" s="389"/>
      <c r="G227" s="389"/>
    </row>
    <row r="228" spans="6:7" ht="12.75">
      <c r="F228" s="389"/>
      <c r="G228" s="389"/>
    </row>
    <row r="229" spans="6:7" ht="12.75">
      <c r="F229" s="389"/>
      <c r="G229" s="389"/>
    </row>
    <row r="230" spans="6:7" ht="12.75">
      <c r="F230" s="389"/>
      <c r="G230" s="389"/>
    </row>
    <row r="231" spans="6:7" ht="12.75">
      <c r="F231" s="389"/>
      <c r="G231" s="389"/>
    </row>
    <row r="232" spans="6:7" ht="12.75">
      <c r="F232" s="389"/>
      <c r="G232" s="389"/>
    </row>
    <row r="233" spans="6:7" ht="12.75">
      <c r="F233" s="389"/>
      <c r="G233" s="389"/>
    </row>
    <row r="234" spans="6:7" ht="12.75">
      <c r="F234" s="389"/>
      <c r="G234" s="389"/>
    </row>
    <row r="235" spans="6:7" ht="12.75">
      <c r="F235" s="389"/>
      <c r="G235" s="389"/>
    </row>
    <row r="236" spans="6:7" ht="12.75">
      <c r="F236" s="389"/>
      <c r="G236" s="389"/>
    </row>
    <row r="237" spans="6:7" ht="12.75">
      <c r="F237" s="389"/>
      <c r="G237" s="389"/>
    </row>
    <row r="238" spans="6:7" ht="12.75">
      <c r="F238" s="389"/>
      <c r="G238" s="389"/>
    </row>
    <row r="239" spans="6:7" ht="12.75">
      <c r="F239" s="389"/>
      <c r="G239" s="389"/>
    </row>
    <row r="240" spans="6:7" ht="12.75">
      <c r="F240" s="389"/>
      <c r="G240" s="389"/>
    </row>
    <row r="241" spans="6:7" ht="12.75">
      <c r="F241" s="389"/>
      <c r="G241" s="389"/>
    </row>
    <row r="242" spans="6:7" ht="12.75">
      <c r="F242" s="389"/>
      <c r="G242" s="389"/>
    </row>
    <row r="243" spans="6:7" ht="12.75">
      <c r="F243" s="389"/>
      <c r="G243" s="389"/>
    </row>
    <row r="244" spans="6:7" ht="12.75">
      <c r="F244" s="389"/>
      <c r="G244" s="389"/>
    </row>
    <row r="245" spans="6:7" ht="12.75">
      <c r="F245" s="389"/>
      <c r="G245" s="389"/>
    </row>
    <row r="246" spans="6:7" ht="12.75">
      <c r="F246" s="389"/>
      <c r="G246" s="389"/>
    </row>
    <row r="247" spans="6:7" ht="12.75">
      <c r="F247" s="389"/>
      <c r="G247" s="389"/>
    </row>
    <row r="248" spans="6:7" ht="12.75">
      <c r="F248" s="389"/>
      <c r="G248" s="389"/>
    </row>
    <row r="249" spans="6:7" ht="12.75">
      <c r="F249" s="389"/>
      <c r="G249" s="389"/>
    </row>
    <row r="250" spans="6:7" ht="12.75">
      <c r="F250" s="389"/>
      <c r="G250" s="389"/>
    </row>
    <row r="251" spans="6:7" ht="12.75">
      <c r="F251" s="389"/>
      <c r="G251" s="389"/>
    </row>
    <row r="252" spans="6:7" ht="12.75">
      <c r="F252" s="389"/>
      <c r="G252" s="389"/>
    </row>
    <row r="253" spans="6:7" ht="12.75">
      <c r="F253" s="389"/>
      <c r="G253" s="389"/>
    </row>
    <row r="254" spans="6:7" ht="12.75">
      <c r="F254" s="389"/>
      <c r="G254" s="389"/>
    </row>
    <row r="255" spans="6:7" ht="12.75">
      <c r="F255" s="389"/>
      <c r="G255" s="389"/>
    </row>
    <row r="256" spans="6:7" ht="12.75">
      <c r="F256" s="389"/>
      <c r="G256" s="389"/>
    </row>
    <row r="257" spans="6:7" ht="12.75">
      <c r="F257" s="389"/>
      <c r="G257" s="389"/>
    </row>
    <row r="258" spans="6:7" ht="12.75">
      <c r="F258" s="389"/>
      <c r="G258" s="389"/>
    </row>
    <row r="259" spans="6:7" ht="12.75">
      <c r="F259" s="389"/>
      <c r="G259" s="389"/>
    </row>
    <row r="260" spans="6:7" ht="12.75">
      <c r="F260" s="389"/>
      <c r="G260" s="389"/>
    </row>
    <row r="261" spans="6:7" ht="12.75">
      <c r="F261" s="389"/>
      <c r="G261" s="389"/>
    </row>
    <row r="262" spans="6:7" ht="12.75">
      <c r="F262" s="389"/>
      <c r="G262" s="389"/>
    </row>
    <row r="263" spans="6:7" ht="12.75">
      <c r="F263" s="389"/>
      <c r="G263" s="389"/>
    </row>
    <row r="264" spans="6:7" ht="12.75">
      <c r="F264" s="389"/>
      <c r="G264" s="389"/>
    </row>
    <row r="265" spans="6:7" ht="12.75">
      <c r="F265" s="389"/>
      <c r="G265" s="389"/>
    </row>
    <row r="266" spans="6:7" ht="12.75">
      <c r="F266" s="389"/>
      <c r="G266" s="389"/>
    </row>
    <row r="267" spans="6:7" ht="12.75">
      <c r="F267" s="389"/>
      <c r="G267" s="389"/>
    </row>
    <row r="268" spans="6:7" ht="12.75">
      <c r="F268" s="389"/>
      <c r="G268" s="389"/>
    </row>
    <row r="269" spans="6:7" ht="12.75">
      <c r="F269" s="389"/>
      <c r="G269" s="389"/>
    </row>
    <row r="270" spans="6:7" ht="12.75">
      <c r="F270" s="389"/>
      <c r="G270" s="389"/>
    </row>
    <row r="271" spans="6:7" ht="12.75">
      <c r="F271" s="389"/>
      <c r="G271" s="389"/>
    </row>
    <row r="272" spans="6:7" ht="12.75">
      <c r="F272" s="389"/>
      <c r="G272" s="389"/>
    </row>
    <row r="273" spans="6:7" ht="12.75">
      <c r="F273" s="389"/>
      <c r="G273" s="389"/>
    </row>
    <row r="274" spans="6:7" ht="12.75">
      <c r="F274" s="389"/>
      <c r="G274" s="389"/>
    </row>
    <row r="275" spans="6:7" ht="12.75">
      <c r="F275" s="389"/>
      <c r="G275" s="389"/>
    </row>
    <row r="276" spans="6:7" ht="12.75">
      <c r="F276" s="389"/>
      <c r="G276" s="389"/>
    </row>
    <row r="277" spans="6:7" ht="12.75">
      <c r="F277" s="389"/>
      <c r="G277" s="389"/>
    </row>
    <row r="278" spans="6:7" ht="12.75">
      <c r="F278" s="389"/>
      <c r="G278" s="389"/>
    </row>
    <row r="279" spans="6:7" ht="12.75">
      <c r="F279" s="389"/>
      <c r="G279" s="389"/>
    </row>
    <row r="280" spans="6:7" ht="12.75">
      <c r="F280" s="389"/>
      <c r="G280" s="389"/>
    </row>
    <row r="281" spans="6:7" ht="12.75">
      <c r="F281" s="389"/>
      <c r="G281" s="389"/>
    </row>
    <row r="282" spans="6:7" ht="12.75">
      <c r="F282" s="389"/>
      <c r="G282" s="389"/>
    </row>
    <row r="283" spans="6:7" ht="12.75">
      <c r="F283" s="389"/>
      <c r="G283" s="389"/>
    </row>
    <row r="284" spans="6:7" ht="12.75">
      <c r="F284" s="389"/>
      <c r="G284" s="389"/>
    </row>
    <row r="285" spans="6:7" ht="12.75">
      <c r="F285" s="389"/>
      <c r="G285" s="389"/>
    </row>
    <row r="286" spans="6:7" ht="12.75">
      <c r="F286" s="389"/>
      <c r="G286" s="389"/>
    </row>
    <row r="287" spans="6:7" ht="12.75">
      <c r="F287" s="389"/>
      <c r="G287" s="389"/>
    </row>
    <row r="288" spans="6:7" ht="12.75">
      <c r="F288" s="389"/>
      <c r="G288" s="389"/>
    </row>
    <row r="289" spans="6:7" ht="12.75">
      <c r="F289" s="389"/>
      <c r="G289" s="389"/>
    </row>
    <row r="290" spans="6:7" ht="12.75">
      <c r="F290" s="389"/>
      <c r="G290" s="389"/>
    </row>
    <row r="291" spans="6:7" ht="12.75">
      <c r="F291" s="389"/>
      <c r="G291" s="389"/>
    </row>
    <row r="292" spans="6:7" ht="12.75">
      <c r="F292" s="389"/>
      <c r="G292" s="389"/>
    </row>
    <row r="293" spans="6:7" ht="12.75">
      <c r="F293" s="389"/>
      <c r="G293" s="389"/>
    </row>
    <row r="294" spans="6:7" ht="12.75">
      <c r="F294" s="389"/>
      <c r="G294" s="389"/>
    </row>
    <row r="295" spans="6:7" ht="12.75">
      <c r="F295" s="389"/>
      <c r="G295" s="389"/>
    </row>
    <row r="296" spans="6:7" ht="12.75">
      <c r="F296" s="389"/>
      <c r="G296" s="389"/>
    </row>
    <row r="297" spans="6:7" ht="12.75">
      <c r="F297" s="389"/>
      <c r="G297" s="389"/>
    </row>
    <row r="298" spans="6:7" ht="12.75">
      <c r="F298" s="389"/>
      <c r="G298" s="389"/>
    </row>
    <row r="299" spans="6:7" ht="12.75">
      <c r="F299" s="389"/>
      <c r="G299" s="389"/>
    </row>
    <row r="300" spans="6:7" ht="12.75">
      <c r="F300" s="389"/>
      <c r="G300" s="389"/>
    </row>
    <row r="301" spans="6:7" ht="12.75">
      <c r="F301" s="389"/>
      <c r="G301" s="389"/>
    </row>
    <row r="302" spans="6:7" ht="12.75">
      <c r="F302" s="389"/>
      <c r="G302" s="389"/>
    </row>
    <row r="303" spans="6:7" ht="12.75">
      <c r="F303" s="389"/>
      <c r="G303" s="389"/>
    </row>
    <row r="304" spans="6:7" ht="12.75">
      <c r="F304" s="389"/>
      <c r="G304" s="389"/>
    </row>
    <row r="305" spans="6:7" ht="12.75">
      <c r="F305" s="389"/>
      <c r="G305" s="389"/>
    </row>
    <row r="306" spans="6:7" ht="12.75">
      <c r="F306" s="389"/>
      <c r="G306" s="389"/>
    </row>
    <row r="307" spans="6:7" ht="12.75">
      <c r="F307" s="389"/>
      <c r="G307" s="389"/>
    </row>
    <row r="308" spans="6:7" ht="12.75">
      <c r="F308" s="389"/>
      <c r="G308" s="389"/>
    </row>
    <row r="309" spans="6:7" ht="12.75">
      <c r="F309" s="389"/>
      <c r="G309" s="389"/>
    </row>
    <row r="310" spans="6:7" ht="12.75">
      <c r="F310" s="389"/>
      <c r="G310" s="389"/>
    </row>
    <row r="311" spans="6:7" ht="12.75">
      <c r="F311" s="389"/>
      <c r="G311" s="389"/>
    </row>
    <row r="312" spans="6:7" ht="12.75">
      <c r="F312" s="389"/>
      <c r="G312" s="389"/>
    </row>
    <row r="313" spans="6:7" ht="12.75">
      <c r="F313" s="389"/>
      <c r="G313" s="389"/>
    </row>
    <row r="314" spans="6:7" ht="12.75">
      <c r="F314" s="389"/>
      <c r="G314" s="389"/>
    </row>
    <row r="315" spans="6:7" ht="12.75">
      <c r="F315" s="389"/>
      <c r="G315" s="389"/>
    </row>
    <row r="316" spans="6:7" ht="12.75">
      <c r="F316" s="389"/>
      <c r="G316" s="389"/>
    </row>
    <row r="317" spans="6:7" ht="12.75">
      <c r="F317" s="389"/>
      <c r="G317" s="389"/>
    </row>
    <row r="318" spans="6:7" ht="12.75">
      <c r="F318" s="389"/>
      <c r="G318" s="389"/>
    </row>
    <row r="319" spans="6:7" ht="12.75">
      <c r="F319" s="389"/>
      <c r="G319" s="389"/>
    </row>
    <row r="320" spans="6:7" ht="12.75">
      <c r="F320" s="389"/>
      <c r="G320" s="389"/>
    </row>
    <row r="321" spans="6:7" ht="12.75">
      <c r="F321" s="389"/>
      <c r="G321" s="389"/>
    </row>
    <row r="322" spans="6:7" ht="12.75">
      <c r="F322" s="389"/>
      <c r="G322" s="389"/>
    </row>
    <row r="323" spans="6:7" ht="12.75">
      <c r="F323" s="389"/>
      <c r="G323" s="389"/>
    </row>
    <row r="324" spans="6:7" ht="12.75">
      <c r="F324" s="389"/>
      <c r="G324" s="389"/>
    </row>
    <row r="325" spans="6:7" ht="12.75">
      <c r="F325" s="389"/>
      <c r="G325" s="389"/>
    </row>
    <row r="326" spans="6:7" ht="12.75">
      <c r="F326" s="389"/>
      <c r="G326" s="389"/>
    </row>
    <row r="327" spans="6:7" ht="12.75">
      <c r="F327" s="389"/>
      <c r="G327" s="389"/>
    </row>
    <row r="328" spans="6:7" ht="12.75">
      <c r="F328" s="389"/>
      <c r="G328" s="389"/>
    </row>
    <row r="329" spans="6:7" ht="12.75">
      <c r="F329" s="389"/>
      <c r="G329" s="389"/>
    </row>
    <row r="330" spans="6:7" ht="12.75">
      <c r="F330" s="389"/>
      <c r="G330" s="389"/>
    </row>
    <row r="331" spans="6:7" ht="12.75">
      <c r="F331" s="389"/>
      <c r="G331" s="389"/>
    </row>
    <row r="332" spans="6:7" ht="12.75">
      <c r="F332" s="389"/>
      <c r="G332" s="389"/>
    </row>
    <row r="333" spans="6:7" ht="12.75">
      <c r="F333" s="389"/>
      <c r="G333" s="389"/>
    </row>
    <row r="334" spans="6:7" ht="12.75">
      <c r="F334" s="389"/>
      <c r="G334" s="389"/>
    </row>
    <row r="335" spans="6:7" ht="12.75">
      <c r="F335" s="389"/>
      <c r="G335" s="389"/>
    </row>
    <row r="336" spans="6:7" ht="12.75">
      <c r="F336" s="389"/>
      <c r="G336" s="389"/>
    </row>
    <row r="337" spans="6:7" ht="12.75">
      <c r="F337" s="389"/>
      <c r="G337" s="389"/>
    </row>
    <row r="338" spans="6:7" ht="12.75">
      <c r="F338" s="389"/>
      <c r="G338" s="389"/>
    </row>
    <row r="339" spans="6:7" ht="12.75">
      <c r="F339" s="389"/>
      <c r="G339" s="389"/>
    </row>
    <row r="340" spans="6:7" ht="12.75">
      <c r="F340" s="389"/>
      <c r="G340" s="389"/>
    </row>
    <row r="341" spans="6:7" ht="12.75">
      <c r="F341" s="389"/>
      <c r="G341" s="389"/>
    </row>
    <row r="342" spans="6:7" ht="12.75">
      <c r="F342" s="389"/>
      <c r="G342" s="389"/>
    </row>
    <row r="343" spans="6:7" ht="12.75">
      <c r="F343" s="389"/>
      <c r="G343" s="389"/>
    </row>
    <row r="344" spans="6:7" ht="12.75">
      <c r="F344" s="389"/>
      <c r="G344" s="389"/>
    </row>
    <row r="345" spans="6:7" ht="12.75">
      <c r="F345" s="389"/>
      <c r="G345" s="389"/>
    </row>
    <row r="346" spans="6:7" ht="12.75">
      <c r="F346" s="389"/>
      <c r="G346" s="389"/>
    </row>
    <row r="347" spans="6:7" ht="12.75">
      <c r="F347" s="389"/>
      <c r="G347" s="389"/>
    </row>
    <row r="348" spans="6:7" ht="12.75">
      <c r="F348" s="389"/>
      <c r="G348" s="389"/>
    </row>
    <row r="349" spans="6:7" ht="12.75">
      <c r="F349" s="389"/>
      <c r="G349" s="389"/>
    </row>
    <row r="350" spans="6:7" ht="12.75">
      <c r="F350" s="389"/>
      <c r="G350" s="389"/>
    </row>
    <row r="351" spans="6:7" ht="12.75">
      <c r="F351" s="389"/>
      <c r="G351" s="389"/>
    </row>
    <row r="352" spans="6:7" ht="12.75">
      <c r="F352" s="389"/>
      <c r="G352" s="389"/>
    </row>
    <row r="353" spans="6:7" ht="12.75">
      <c r="F353" s="389"/>
      <c r="G353" s="389"/>
    </row>
    <row r="354" spans="6:7" ht="12.75">
      <c r="F354" s="389"/>
      <c r="G354" s="389"/>
    </row>
    <row r="355" spans="6:7" ht="12.75">
      <c r="F355" s="389"/>
      <c r="G355" s="389"/>
    </row>
    <row r="356" spans="6:7" ht="12.75">
      <c r="F356" s="389"/>
      <c r="G356" s="389"/>
    </row>
    <row r="357" spans="6:7" ht="12.75">
      <c r="F357" s="389"/>
      <c r="G357" s="389"/>
    </row>
    <row r="358" spans="6:7" ht="12.75">
      <c r="F358" s="389"/>
      <c r="G358" s="389"/>
    </row>
    <row r="359" spans="6:7" ht="12.75">
      <c r="F359" s="389"/>
      <c r="G359" s="389"/>
    </row>
    <row r="360" spans="6:7" ht="12.75">
      <c r="F360" s="389"/>
      <c r="G360" s="389"/>
    </row>
    <row r="361" spans="6:7" ht="12.75">
      <c r="F361" s="389"/>
      <c r="G361" s="389"/>
    </row>
    <row r="362" spans="6:7" ht="12.75">
      <c r="F362" s="389"/>
      <c r="G362" s="389"/>
    </row>
    <row r="363" spans="6:7" ht="12.75">
      <c r="F363" s="389"/>
      <c r="G363" s="389"/>
    </row>
    <row r="364" spans="6:7" ht="12.75">
      <c r="F364" s="389"/>
      <c r="G364" s="389"/>
    </row>
    <row r="365" spans="6:7" ht="12.75">
      <c r="F365" s="389"/>
      <c r="G365" s="389"/>
    </row>
    <row r="366" spans="6:7" ht="12.75">
      <c r="F366" s="389"/>
      <c r="G366" s="389"/>
    </row>
    <row r="367" spans="6:7" ht="12.75">
      <c r="F367" s="389"/>
      <c r="G367" s="389"/>
    </row>
    <row r="368" spans="6:7" ht="12.75">
      <c r="F368" s="389"/>
      <c r="G368" s="389"/>
    </row>
    <row r="369" spans="6:7" ht="12.75">
      <c r="F369" s="389"/>
      <c r="G369" s="389"/>
    </row>
    <row r="370" spans="6:7" ht="12.75">
      <c r="F370" s="389"/>
      <c r="G370" s="389"/>
    </row>
    <row r="371" spans="6:7" ht="12.75">
      <c r="F371" s="389"/>
      <c r="G371" s="389"/>
    </row>
    <row r="372" spans="6:7" ht="12.75">
      <c r="F372" s="389"/>
      <c r="G372" s="389"/>
    </row>
    <row r="373" spans="6:7" ht="12.75">
      <c r="F373" s="389"/>
      <c r="G373" s="389"/>
    </row>
    <row r="374" spans="6:7" ht="12.75">
      <c r="F374" s="389"/>
      <c r="G374" s="389"/>
    </row>
    <row r="375" spans="6:7" ht="12.75">
      <c r="F375" s="389"/>
      <c r="G375" s="389"/>
    </row>
    <row r="376" spans="6:7" ht="12.75">
      <c r="F376" s="389"/>
      <c r="G376" s="389"/>
    </row>
    <row r="377" spans="6:7" ht="12.75">
      <c r="F377" s="389"/>
      <c r="G377" s="389"/>
    </row>
    <row r="378" spans="6:7" ht="12.75">
      <c r="F378" s="389"/>
      <c r="G378" s="389"/>
    </row>
    <row r="379" spans="6:7" ht="12.75">
      <c r="F379" s="389"/>
      <c r="G379" s="389"/>
    </row>
    <row r="380" spans="6:7" ht="12.75">
      <c r="F380" s="389"/>
      <c r="G380" s="389"/>
    </row>
    <row r="381" spans="6:7" ht="12.75">
      <c r="F381" s="389"/>
      <c r="G381" s="389"/>
    </row>
    <row r="382" spans="6:7" ht="12.75">
      <c r="F382" s="389"/>
      <c r="G382" s="389"/>
    </row>
    <row r="383" spans="6:7" ht="12.75">
      <c r="F383" s="389"/>
      <c r="G383" s="389"/>
    </row>
    <row r="384" spans="6:7" ht="12.75">
      <c r="F384" s="389"/>
      <c r="G384" s="389"/>
    </row>
    <row r="385" spans="6:7" ht="12.75">
      <c r="F385" s="389"/>
      <c r="G385" s="389"/>
    </row>
    <row r="386" spans="6:7" ht="12.75">
      <c r="F386" s="389"/>
      <c r="G386" s="389"/>
    </row>
    <row r="387" spans="6:7" ht="12.75">
      <c r="F387" s="389"/>
      <c r="G387" s="389"/>
    </row>
    <row r="388" spans="6:7" ht="12.75">
      <c r="F388" s="389"/>
      <c r="G388" s="389"/>
    </row>
    <row r="389" spans="6:7" ht="12.75">
      <c r="F389" s="389"/>
      <c r="G389" s="389"/>
    </row>
    <row r="390" spans="6:7" ht="12.75">
      <c r="F390" s="389"/>
      <c r="G390" s="389"/>
    </row>
    <row r="391" spans="6:7" ht="12.75">
      <c r="F391" s="389"/>
      <c r="G391" s="389"/>
    </row>
    <row r="392" spans="6:7" ht="12.75">
      <c r="F392" s="389"/>
      <c r="G392" s="389"/>
    </row>
    <row r="393" spans="6:7" ht="12.75">
      <c r="F393" s="389"/>
      <c r="G393" s="389"/>
    </row>
    <row r="394" spans="6:7" ht="12.75">
      <c r="F394" s="389"/>
      <c r="G394" s="389"/>
    </row>
    <row r="395" spans="6:7" ht="12.75">
      <c r="F395" s="389"/>
      <c r="G395" s="389"/>
    </row>
    <row r="396" spans="6:7" ht="12.75">
      <c r="F396" s="389"/>
      <c r="G396" s="389"/>
    </row>
    <row r="397" spans="6:7" ht="12.75">
      <c r="F397" s="389"/>
      <c r="G397" s="389"/>
    </row>
    <row r="398" spans="6:7" ht="12.75">
      <c r="F398" s="389"/>
      <c r="G398" s="389"/>
    </row>
    <row r="399" spans="6:7" ht="12.75">
      <c r="F399" s="389"/>
      <c r="G399" s="389"/>
    </row>
    <row r="400" spans="6:7" ht="12.75">
      <c r="F400" s="389"/>
      <c r="G400" s="389"/>
    </row>
    <row r="401" spans="6:7" ht="12.75">
      <c r="F401" s="389"/>
      <c r="G401" s="389"/>
    </row>
    <row r="402" spans="6:7" ht="12.75">
      <c r="F402" s="389"/>
      <c r="G402" s="389"/>
    </row>
    <row r="403" spans="6:7" ht="12.75">
      <c r="F403" s="389"/>
      <c r="G403" s="389"/>
    </row>
    <row r="404" spans="6:7" ht="12.75">
      <c r="F404" s="389"/>
      <c r="G404" s="389"/>
    </row>
    <row r="405" spans="6:7" ht="12.75">
      <c r="F405" s="389"/>
      <c r="G405" s="389"/>
    </row>
    <row r="406" spans="6:7" ht="12.75">
      <c r="F406" s="389"/>
      <c r="G406" s="389"/>
    </row>
    <row r="407" spans="6:7" ht="12.75">
      <c r="F407" s="389"/>
      <c r="G407" s="389"/>
    </row>
    <row r="408" spans="6:7" ht="12.75">
      <c r="F408" s="389"/>
      <c r="G408" s="389"/>
    </row>
    <row r="409" spans="6:7" ht="12.75">
      <c r="F409" s="389"/>
      <c r="G409" s="389"/>
    </row>
    <row r="410" spans="6:7" ht="12.75">
      <c r="F410" s="389"/>
      <c r="G410" s="389"/>
    </row>
    <row r="411" spans="6:7" ht="12.75">
      <c r="F411" s="389"/>
      <c r="G411" s="389"/>
    </row>
    <row r="412" spans="6:7" ht="12.75">
      <c r="F412" s="389"/>
      <c r="G412" s="389"/>
    </row>
    <row r="413" spans="6:7" ht="12.75">
      <c r="F413" s="389"/>
      <c r="G413" s="389"/>
    </row>
    <row r="414" spans="6:7" ht="12.75">
      <c r="F414" s="389"/>
      <c r="G414" s="389"/>
    </row>
    <row r="415" spans="6:7" ht="12.75">
      <c r="F415" s="389"/>
      <c r="G415" s="389"/>
    </row>
    <row r="416" spans="6:7" ht="12.75">
      <c r="F416" s="389"/>
      <c r="G416" s="389"/>
    </row>
    <row r="417" spans="6:7" ht="12.75">
      <c r="F417" s="389"/>
      <c r="G417" s="389"/>
    </row>
    <row r="418" spans="6:7" ht="12.75">
      <c r="F418" s="389"/>
      <c r="G418" s="389"/>
    </row>
    <row r="419" spans="6:7" ht="12.75">
      <c r="F419" s="389"/>
      <c r="G419" s="389"/>
    </row>
    <row r="420" spans="6:7" ht="12.75">
      <c r="F420" s="389"/>
      <c r="G420" s="389"/>
    </row>
    <row r="421" spans="6:7" ht="12.75">
      <c r="F421" s="389"/>
      <c r="G421" s="389"/>
    </row>
    <row r="422" spans="6:7" ht="12.75">
      <c r="F422" s="389"/>
      <c r="G422" s="389"/>
    </row>
    <row r="423" spans="6:7" ht="12.75">
      <c r="F423" s="389"/>
      <c r="G423" s="389"/>
    </row>
    <row r="424" spans="6:7" ht="12.75">
      <c r="F424" s="389"/>
      <c r="G424" s="389"/>
    </row>
    <row r="425" spans="6:7" ht="12.75">
      <c r="F425" s="389"/>
      <c r="G425" s="389"/>
    </row>
    <row r="426" spans="6:7" ht="12.75">
      <c r="F426" s="389"/>
      <c r="G426" s="389"/>
    </row>
    <row r="427" spans="6:7" ht="12.75">
      <c r="F427" s="389"/>
      <c r="G427" s="389"/>
    </row>
    <row r="428" spans="6:7" ht="12.75">
      <c r="F428" s="389"/>
      <c r="G428" s="389"/>
    </row>
    <row r="429" spans="6:7" ht="12.75">
      <c r="F429" s="389"/>
      <c r="G429" s="389"/>
    </row>
    <row r="430" spans="6:7" ht="12.75">
      <c r="F430" s="389"/>
      <c r="G430" s="389"/>
    </row>
    <row r="431" spans="6:7" ht="12.75">
      <c r="F431" s="389"/>
      <c r="G431" s="389"/>
    </row>
    <row r="432" spans="6:7" ht="12.75">
      <c r="F432" s="389"/>
      <c r="G432" s="389"/>
    </row>
    <row r="433" spans="6:7" ht="12.75">
      <c r="F433" s="389"/>
      <c r="G433" s="389"/>
    </row>
    <row r="434" spans="6:7" ht="12.75">
      <c r="F434" s="389"/>
      <c r="G434" s="389"/>
    </row>
    <row r="435" spans="6:7" ht="12.75">
      <c r="F435" s="389"/>
      <c r="G435" s="389"/>
    </row>
    <row r="436" spans="6:7" ht="12.75">
      <c r="F436" s="389"/>
      <c r="G436" s="389"/>
    </row>
    <row r="437" spans="6:7" ht="12.75">
      <c r="F437" s="389"/>
      <c r="G437" s="389"/>
    </row>
    <row r="438" spans="6:7" ht="12.75">
      <c r="F438" s="389"/>
      <c r="G438" s="389"/>
    </row>
    <row r="439" spans="6:7" ht="12.75">
      <c r="F439" s="389"/>
      <c r="G439" s="389"/>
    </row>
    <row r="440" spans="6:7" ht="12.75">
      <c r="F440" s="389"/>
      <c r="G440" s="389"/>
    </row>
    <row r="441" spans="6:7" ht="12.75">
      <c r="F441" s="389"/>
      <c r="G441" s="389"/>
    </row>
    <row r="442" spans="6:7" ht="12.75">
      <c r="F442" s="389"/>
      <c r="G442" s="389"/>
    </row>
    <row r="443" spans="6:7" ht="12.75">
      <c r="F443" s="389"/>
      <c r="G443" s="389"/>
    </row>
    <row r="444" spans="6:7" ht="12.75">
      <c r="F444" s="389"/>
      <c r="G444" s="389"/>
    </row>
    <row r="445" spans="6:7" ht="12.75">
      <c r="F445" s="389"/>
      <c r="G445" s="389"/>
    </row>
    <row r="446" spans="6:7" ht="12.75">
      <c r="F446" s="389"/>
      <c r="G446" s="389"/>
    </row>
    <row r="447" spans="6:7" ht="12.75">
      <c r="F447" s="389"/>
      <c r="G447" s="389"/>
    </row>
    <row r="448" spans="6:7" ht="12.75">
      <c r="F448" s="389"/>
      <c r="G448" s="389"/>
    </row>
    <row r="449" spans="6:7" ht="12.75">
      <c r="F449" s="389"/>
      <c r="G449" s="389"/>
    </row>
    <row r="450" spans="6:7" ht="12.75">
      <c r="F450" s="389"/>
      <c r="G450" s="389"/>
    </row>
    <row r="451" spans="6:7" ht="12.75">
      <c r="F451" s="389"/>
      <c r="G451" s="389"/>
    </row>
    <row r="452" spans="6:7" ht="12.75">
      <c r="F452" s="389"/>
      <c r="G452" s="389"/>
    </row>
    <row r="453" spans="6:7" ht="12.75">
      <c r="F453" s="389"/>
      <c r="G453" s="389"/>
    </row>
    <row r="454" spans="6:7" ht="12.75">
      <c r="F454" s="389"/>
      <c r="G454" s="389"/>
    </row>
    <row r="455" spans="6:7" ht="12.75">
      <c r="F455" s="389"/>
      <c r="G455" s="389"/>
    </row>
    <row r="456" spans="6:7" ht="12.75">
      <c r="F456" s="389"/>
      <c r="G456" s="389"/>
    </row>
    <row r="457" spans="6:7" ht="12.75">
      <c r="F457" s="389"/>
      <c r="G457" s="389"/>
    </row>
    <row r="458" spans="6:7" ht="12.75">
      <c r="F458" s="389"/>
      <c r="G458" s="389"/>
    </row>
    <row r="459" spans="6:7" ht="12.75">
      <c r="F459" s="389"/>
      <c r="G459" s="389"/>
    </row>
    <row r="460" spans="6:7" ht="12.75">
      <c r="F460" s="389"/>
      <c r="G460" s="389"/>
    </row>
    <row r="461" spans="6:7" ht="12.75">
      <c r="F461" s="389"/>
      <c r="G461" s="389"/>
    </row>
    <row r="462" spans="6:7" ht="12.75">
      <c r="F462" s="389"/>
      <c r="G462" s="389"/>
    </row>
    <row r="463" spans="6:7" ht="12.75">
      <c r="F463" s="389"/>
      <c r="G463" s="389"/>
    </row>
    <row r="464" spans="6:7" ht="12.75">
      <c r="F464" s="389"/>
      <c r="G464" s="389"/>
    </row>
    <row r="465" spans="6:7" ht="12.75">
      <c r="F465" s="389"/>
      <c r="G465" s="389"/>
    </row>
    <row r="466" spans="6:7" ht="12.75">
      <c r="F466" s="389"/>
      <c r="G466" s="389"/>
    </row>
    <row r="467" spans="6:7" ht="12.75">
      <c r="F467" s="389"/>
      <c r="G467" s="389"/>
    </row>
    <row r="468" spans="6:7" ht="12.75">
      <c r="F468" s="389"/>
      <c r="G468" s="389"/>
    </row>
    <row r="469" spans="6:7" ht="12.75">
      <c r="F469" s="389"/>
      <c r="G469" s="389"/>
    </row>
    <row r="470" spans="6:7" ht="12.75">
      <c r="F470" s="389"/>
      <c r="G470" s="389"/>
    </row>
    <row r="471" spans="6:7" ht="12.75">
      <c r="F471" s="389"/>
      <c r="G471" s="389"/>
    </row>
    <row r="472" spans="6:7" ht="12.75">
      <c r="F472" s="389"/>
      <c r="G472" s="389"/>
    </row>
    <row r="473" spans="6:7" ht="12.75">
      <c r="F473" s="389"/>
      <c r="G473" s="389"/>
    </row>
    <row r="474" spans="6:7" ht="12.75">
      <c r="F474" s="389"/>
      <c r="G474" s="389"/>
    </row>
    <row r="475" spans="6:7" ht="12.75">
      <c r="F475" s="389"/>
      <c r="G475" s="389"/>
    </row>
    <row r="476" spans="6:7" ht="12.75">
      <c r="F476" s="389"/>
      <c r="G476" s="389"/>
    </row>
    <row r="477" spans="6:7" ht="12.75">
      <c r="F477" s="389"/>
      <c r="G477" s="389"/>
    </row>
    <row r="478" spans="6:7" ht="12.75">
      <c r="F478" s="389"/>
      <c r="G478" s="389"/>
    </row>
    <row r="479" spans="6:7" ht="12.75">
      <c r="F479" s="389"/>
      <c r="G479" s="389"/>
    </row>
    <row r="480" spans="6:7" ht="12.75">
      <c r="F480" s="389"/>
      <c r="G480" s="389"/>
    </row>
    <row r="481" spans="6:7" ht="12.75">
      <c r="F481" s="389"/>
      <c r="G481" s="389"/>
    </row>
    <row r="482" spans="6:7" ht="12.75">
      <c r="F482" s="389"/>
      <c r="G482" s="389"/>
    </row>
    <row r="483" spans="6:7" ht="12.75">
      <c r="F483" s="389"/>
      <c r="G483" s="389"/>
    </row>
    <row r="484" spans="6:7" ht="12.75">
      <c r="F484" s="389"/>
      <c r="G484" s="389"/>
    </row>
    <row r="485" spans="6:7" ht="12.75">
      <c r="F485" s="389"/>
      <c r="G485" s="389"/>
    </row>
    <row r="486" spans="6:7" ht="12.75">
      <c r="F486" s="389"/>
      <c r="G486" s="389"/>
    </row>
    <row r="487" spans="6:7" ht="12.75">
      <c r="F487" s="389"/>
      <c r="G487" s="389"/>
    </row>
    <row r="488" spans="6:7" ht="12.75">
      <c r="F488" s="389"/>
      <c r="G488" s="389"/>
    </row>
    <row r="489" spans="6:7" ht="12.75">
      <c r="F489" s="389"/>
      <c r="G489" s="389"/>
    </row>
    <row r="490" spans="6:7" ht="12.75">
      <c r="F490" s="389"/>
      <c r="G490" s="389"/>
    </row>
    <row r="491" spans="6:7" ht="12.75">
      <c r="F491" s="389"/>
      <c r="G491" s="389"/>
    </row>
    <row r="492" spans="6:7" ht="12.75">
      <c r="F492" s="389"/>
      <c r="G492" s="389"/>
    </row>
    <row r="493" spans="6:7" ht="12.75">
      <c r="F493" s="389"/>
      <c r="G493" s="389"/>
    </row>
    <row r="494" spans="6:7" ht="12.75">
      <c r="F494" s="389"/>
      <c r="G494" s="389"/>
    </row>
    <row r="495" spans="6:7" ht="12.75">
      <c r="F495" s="389"/>
      <c r="G495" s="389"/>
    </row>
    <row r="496" spans="6:7" ht="12.75">
      <c r="F496" s="389"/>
      <c r="G496" s="389"/>
    </row>
    <row r="497" spans="6:7" ht="12.75">
      <c r="F497" s="389"/>
      <c r="G497" s="389"/>
    </row>
    <row r="498" spans="6:7" ht="12.75">
      <c r="F498" s="389"/>
      <c r="G498" s="389"/>
    </row>
    <row r="499" spans="6:7" ht="12.75">
      <c r="F499" s="389"/>
      <c r="G499" s="389"/>
    </row>
    <row r="500" spans="6:7" ht="12.75">
      <c r="F500" s="389"/>
      <c r="G500" s="389"/>
    </row>
    <row r="501" spans="6:7" ht="12.75">
      <c r="F501" s="389"/>
      <c r="G501" s="389"/>
    </row>
    <row r="502" spans="6:7" ht="12.75">
      <c r="F502" s="389"/>
      <c r="G502" s="389"/>
    </row>
    <row r="503" spans="6:7" ht="12.75">
      <c r="F503" s="389"/>
      <c r="G503" s="389"/>
    </row>
    <row r="504" spans="6:7" ht="12.75">
      <c r="F504" s="389"/>
      <c r="G504" s="389"/>
    </row>
    <row r="505" spans="6:7" ht="12.75">
      <c r="F505" s="389"/>
      <c r="G505" s="389"/>
    </row>
    <row r="506" spans="6:7" ht="12.75">
      <c r="F506" s="389"/>
      <c r="G506" s="389"/>
    </row>
    <row r="507" spans="6:7" ht="12.75">
      <c r="F507" s="389"/>
      <c r="G507" s="389"/>
    </row>
    <row r="508" spans="6:7" ht="12.75">
      <c r="F508" s="389"/>
      <c r="G508" s="389"/>
    </row>
    <row r="509" spans="6:7" ht="12.75">
      <c r="F509" s="389"/>
      <c r="G509" s="389"/>
    </row>
    <row r="510" spans="6:7" ht="12.75">
      <c r="F510" s="389"/>
      <c r="G510" s="389"/>
    </row>
    <row r="511" spans="6:7" ht="12.75">
      <c r="F511" s="389"/>
      <c r="G511" s="389"/>
    </row>
    <row r="512" spans="6:7" ht="12.75">
      <c r="F512" s="389"/>
      <c r="G512" s="389"/>
    </row>
    <row r="513" spans="6:7" ht="12.75">
      <c r="F513" s="389"/>
      <c r="G513" s="389"/>
    </row>
    <row r="514" spans="6:7" ht="12.75">
      <c r="F514" s="389"/>
      <c r="G514" s="389"/>
    </row>
    <row r="515" spans="6:7" ht="12.75">
      <c r="F515" s="389"/>
      <c r="G515" s="389"/>
    </row>
    <row r="516" spans="6:7" ht="12.75">
      <c r="F516" s="389"/>
      <c r="G516" s="389"/>
    </row>
    <row r="517" spans="6:7" ht="12.75">
      <c r="F517" s="389"/>
      <c r="G517" s="389"/>
    </row>
    <row r="518" spans="6:7" ht="12.75">
      <c r="F518" s="389"/>
      <c r="G518" s="389"/>
    </row>
    <row r="519" spans="6:7" ht="12.75">
      <c r="F519" s="389"/>
      <c r="G519" s="389"/>
    </row>
    <row r="520" spans="6:7" ht="12.75">
      <c r="F520" s="389"/>
      <c r="G520" s="389"/>
    </row>
    <row r="521" spans="6:7" ht="12.75">
      <c r="F521" s="389"/>
      <c r="G521" s="389"/>
    </row>
    <row r="522" spans="6:7" ht="12.75">
      <c r="F522" s="389"/>
      <c r="G522" s="389"/>
    </row>
    <row r="523" spans="6:7" ht="12.75">
      <c r="F523" s="389"/>
      <c r="G523" s="389"/>
    </row>
    <row r="524" spans="6:7" ht="12.75">
      <c r="F524" s="389"/>
      <c r="G524" s="389"/>
    </row>
    <row r="525" spans="6:7" ht="12.75">
      <c r="F525" s="389"/>
      <c r="G525" s="389"/>
    </row>
    <row r="526" spans="6:7" ht="12.75">
      <c r="F526" s="389"/>
      <c r="G526" s="389"/>
    </row>
    <row r="527" spans="6:7" ht="12.75">
      <c r="F527" s="389"/>
      <c r="G527" s="389"/>
    </row>
    <row r="528" spans="6:7" ht="12.75">
      <c r="F528" s="389"/>
      <c r="G528" s="389"/>
    </row>
    <row r="529" spans="6:7" ht="12.75">
      <c r="F529" s="389"/>
      <c r="G529" s="389"/>
    </row>
    <row r="530" spans="6:7" ht="12.75">
      <c r="F530" s="389"/>
      <c r="G530" s="389"/>
    </row>
    <row r="531" spans="6:7" ht="12.75">
      <c r="F531" s="389"/>
      <c r="G531" s="389"/>
    </row>
    <row r="532" spans="6:7" ht="12.75">
      <c r="F532" s="389"/>
      <c r="G532" s="389"/>
    </row>
    <row r="533" spans="6:7" ht="12.75">
      <c r="F533" s="389"/>
      <c r="G533" s="389"/>
    </row>
    <row r="534" spans="6:7" ht="12.75">
      <c r="F534" s="389"/>
      <c r="G534" s="389"/>
    </row>
    <row r="535" spans="6:7" ht="12.75">
      <c r="F535" s="389"/>
      <c r="G535" s="389"/>
    </row>
    <row r="536" spans="6:7" ht="12.75">
      <c r="F536" s="389"/>
      <c r="G536" s="389"/>
    </row>
    <row r="537" spans="6:7" ht="12.75">
      <c r="F537" s="389"/>
      <c r="G537" s="389"/>
    </row>
    <row r="538" spans="6:7" ht="12.75">
      <c r="F538" s="389"/>
      <c r="G538" s="389"/>
    </row>
    <row r="539" spans="6:7" ht="12.75">
      <c r="F539" s="389"/>
      <c r="G539" s="389"/>
    </row>
    <row r="540" spans="6:7" ht="12.75">
      <c r="F540" s="389"/>
      <c r="G540" s="389"/>
    </row>
    <row r="541" spans="6:7" ht="12.75">
      <c r="F541" s="389"/>
      <c r="G541" s="389"/>
    </row>
    <row r="542" spans="6:7" ht="12.75">
      <c r="F542" s="389"/>
      <c r="G542" s="389"/>
    </row>
    <row r="543" spans="6:7" ht="12.75">
      <c r="F543" s="389"/>
      <c r="G543" s="389"/>
    </row>
    <row r="544" spans="6:7" ht="12.75">
      <c r="F544" s="389"/>
      <c r="G544" s="389"/>
    </row>
    <row r="545" spans="6:7" ht="12.75">
      <c r="F545" s="389"/>
      <c r="G545" s="389"/>
    </row>
    <row r="546" spans="6:7" ht="12.75">
      <c r="F546" s="389"/>
      <c r="G546" s="389"/>
    </row>
    <row r="547" spans="6:7" ht="12.75">
      <c r="F547" s="389"/>
      <c r="G547" s="389"/>
    </row>
    <row r="548" spans="6:7" ht="12.75">
      <c r="F548" s="389"/>
      <c r="G548" s="389"/>
    </row>
    <row r="549" spans="6:7" ht="12.75">
      <c r="F549" s="389"/>
      <c r="G549" s="389"/>
    </row>
    <row r="550" spans="6:7" ht="12.75">
      <c r="F550" s="389"/>
      <c r="G550" s="389"/>
    </row>
    <row r="551" spans="6:7" ht="12.75">
      <c r="F551" s="389"/>
      <c r="G551" s="389"/>
    </row>
    <row r="552" spans="6:7" ht="12.75">
      <c r="F552" s="389"/>
      <c r="G552" s="389"/>
    </row>
    <row r="553" spans="6:7" ht="12.75">
      <c r="F553" s="389"/>
      <c r="G553" s="389"/>
    </row>
    <row r="554" spans="6:7" ht="12.75">
      <c r="F554" s="389"/>
      <c r="G554" s="389"/>
    </row>
    <row r="555" spans="6:7" ht="12.75">
      <c r="F555" s="389"/>
      <c r="G555" s="389"/>
    </row>
    <row r="556" spans="6:7" ht="12.75">
      <c r="F556" s="389"/>
      <c r="G556" s="389"/>
    </row>
    <row r="557" spans="6:7" ht="12.75">
      <c r="F557" s="389"/>
      <c r="G557" s="389"/>
    </row>
    <row r="558" spans="6:7" ht="12.75">
      <c r="F558" s="389"/>
      <c r="G558" s="389"/>
    </row>
    <row r="559" spans="6:7" ht="12.75">
      <c r="F559" s="389"/>
      <c r="G559" s="389"/>
    </row>
    <row r="560" spans="6:7" ht="12.75">
      <c r="F560" s="389"/>
      <c r="G560" s="389"/>
    </row>
    <row r="561" spans="6:7" ht="12.75">
      <c r="F561" s="389"/>
      <c r="G561" s="389"/>
    </row>
    <row r="562" spans="6:7" ht="12.75">
      <c r="F562" s="389"/>
      <c r="G562" s="389"/>
    </row>
    <row r="563" spans="6:7" ht="12.75">
      <c r="F563" s="389"/>
      <c r="G563" s="389"/>
    </row>
    <row r="564" spans="6:7" ht="12.75">
      <c r="F564" s="389"/>
      <c r="G564" s="389"/>
    </row>
    <row r="565" spans="6:7" ht="12.75">
      <c r="F565" s="389"/>
      <c r="G565" s="389"/>
    </row>
    <row r="566" spans="6:7" ht="12.75">
      <c r="F566" s="389"/>
      <c r="G566" s="389"/>
    </row>
    <row r="567" spans="6:7" ht="12.75">
      <c r="F567" s="389"/>
      <c r="G567" s="389"/>
    </row>
    <row r="568" spans="6:7" ht="12.75">
      <c r="F568" s="389"/>
      <c r="G568" s="389"/>
    </row>
    <row r="569" spans="6:7" ht="12.75">
      <c r="F569" s="389"/>
      <c r="G569" s="389"/>
    </row>
    <row r="570" spans="6:7" ht="12.75">
      <c r="F570" s="389"/>
      <c r="G570" s="389"/>
    </row>
    <row r="571" spans="6:7" ht="12.75">
      <c r="F571" s="389"/>
      <c r="G571" s="389"/>
    </row>
    <row r="572" spans="6:7" ht="12.75">
      <c r="F572" s="389"/>
      <c r="G572" s="389"/>
    </row>
    <row r="573" spans="6:7" ht="12.75">
      <c r="F573" s="389"/>
      <c r="G573" s="389"/>
    </row>
    <row r="574" spans="6:7" ht="12.75">
      <c r="F574" s="389"/>
      <c r="G574" s="389"/>
    </row>
    <row r="575" spans="6:7" ht="12.75">
      <c r="F575" s="389"/>
      <c r="G575" s="389"/>
    </row>
    <row r="576" spans="6:7" ht="12.75">
      <c r="F576" s="389"/>
      <c r="G576" s="389"/>
    </row>
    <row r="577" spans="6:7" ht="12.75">
      <c r="F577" s="389"/>
      <c r="G577" s="389"/>
    </row>
    <row r="578" spans="6:7" ht="12.75">
      <c r="F578" s="389"/>
      <c r="G578" s="389"/>
    </row>
    <row r="579" spans="6:7" ht="12.75">
      <c r="F579" s="389"/>
      <c r="G579" s="389"/>
    </row>
    <row r="580" spans="6:7" ht="12.75">
      <c r="F580" s="389"/>
      <c r="G580" s="389"/>
    </row>
    <row r="581" spans="6:7" ht="12.75">
      <c r="F581" s="389"/>
      <c r="G581" s="389"/>
    </row>
    <row r="582" spans="6:7" ht="12.75">
      <c r="F582" s="389"/>
      <c r="G582" s="389"/>
    </row>
    <row r="583" spans="6:7" ht="12.75">
      <c r="F583" s="389"/>
      <c r="G583" s="389"/>
    </row>
    <row r="584" spans="6:7" ht="12.75">
      <c r="F584" s="389"/>
      <c r="G584" s="389"/>
    </row>
    <row r="585" spans="6:7" ht="12.75">
      <c r="F585" s="389"/>
      <c r="G585" s="389"/>
    </row>
    <row r="586" spans="6:7" ht="12.75">
      <c r="F586" s="389"/>
      <c r="G586" s="389"/>
    </row>
    <row r="587" spans="6:7" ht="12.75">
      <c r="F587" s="389"/>
      <c r="G587" s="389"/>
    </row>
    <row r="588" spans="6:7" ht="12.75">
      <c r="F588" s="389"/>
      <c r="G588" s="389"/>
    </row>
    <row r="589" spans="6:7" ht="12.75">
      <c r="F589" s="389"/>
      <c r="G589" s="389"/>
    </row>
    <row r="590" spans="6:7" ht="12.75">
      <c r="F590" s="389"/>
      <c r="G590" s="389"/>
    </row>
    <row r="591" spans="6:7" ht="12.75">
      <c r="F591" s="389"/>
      <c r="G591" s="389"/>
    </row>
    <row r="592" spans="6:7" ht="12.75">
      <c r="F592" s="389"/>
      <c r="G592" s="389"/>
    </row>
    <row r="593" spans="6:7" ht="12.75">
      <c r="F593" s="389"/>
      <c r="G593" s="389"/>
    </row>
    <row r="594" spans="6:7" ht="12.75">
      <c r="F594" s="389"/>
      <c r="G594" s="389"/>
    </row>
    <row r="595" spans="6:7" ht="12.75">
      <c r="F595" s="389"/>
      <c r="G595" s="389"/>
    </row>
    <row r="596" spans="6:7" ht="12.75">
      <c r="F596" s="389"/>
      <c r="G596" s="389"/>
    </row>
    <row r="597" spans="6:7" ht="12.75">
      <c r="F597" s="389"/>
      <c r="G597" s="389"/>
    </row>
    <row r="598" spans="6:7" ht="12.75">
      <c r="F598" s="389"/>
      <c r="G598" s="389"/>
    </row>
    <row r="599" spans="6:7" ht="12.75">
      <c r="F599" s="389"/>
      <c r="G599" s="389"/>
    </row>
    <row r="600" spans="6:7" ht="12.75">
      <c r="F600" s="389"/>
      <c r="G600" s="389"/>
    </row>
    <row r="601" spans="6:7" ht="12.75">
      <c r="F601" s="389"/>
      <c r="G601" s="389"/>
    </row>
    <row r="602" spans="6:7" ht="12.75">
      <c r="F602" s="389"/>
      <c r="G602" s="389"/>
    </row>
    <row r="603" spans="6:7" ht="12.75">
      <c r="F603" s="389"/>
      <c r="G603" s="389"/>
    </row>
    <row r="604" spans="6:7" ht="12.75">
      <c r="F604" s="389"/>
      <c r="G604" s="389"/>
    </row>
    <row r="605" spans="6:7" ht="12.75">
      <c r="F605" s="389"/>
      <c r="G605" s="389"/>
    </row>
    <row r="606" spans="6:7" ht="12.75">
      <c r="F606" s="389"/>
      <c r="G606" s="389"/>
    </row>
    <row r="607" spans="6:7" ht="12.75">
      <c r="F607" s="389"/>
      <c r="G607" s="389"/>
    </row>
    <row r="608" spans="6:7" ht="12.75">
      <c r="F608" s="389"/>
      <c r="G608" s="389"/>
    </row>
    <row r="609" spans="6:7" ht="12.75">
      <c r="F609" s="389"/>
      <c r="G609" s="389"/>
    </row>
    <row r="610" spans="6:7" ht="12.75">
      <c r="F610" s="389"/>
      <c r="G610" s="389"/>
    </row>
    <row r="611" spans="6:7" ht="12.75">
      <c r="F611" s="389"/>
      <c r="G611" s="389"/>
    </row>
    <row r="612" spans="6:7" ht="12.75">
      <c r="F612" s="389"/>
      <c r="G612" s="389"/>
    </row>
    <row r="613" spans="6:7" ht="12.75">
      <c r="F613" s="389"/>
      <c r="G613" s="389"/>
    </row>
    <row r="614" spans="6:7" ht="12.75">
      <c r="F614" s="389"/>
      <c r="G614" s="389"/>
    </row>
    <row r="615" spans="6:7" ht="12.75">
      <c r="F615" s="389"/>
      <c r="G615" s="389"/>
    </row>
    <row r="616" spans="6:7" ht="12.75">
      <c r="F616" s="389"/>
      <c r="G616" s="389"/>
    </row>
    <row r="617" spans="6:7" ht="12.75">
      <c r="F617" s="389"/>
      <c r="G617" s="389"/>
    </row>
    <row r="618" spans="6:7" ht="12.75">
      <c r="F618" s="389"/>
      <c r="G618" s="389"/>
    </row>
    <row r="619" spans="6:7" ht="12.75">
      <c r="F619" s="389"/>
      <c r="G619" s="389"/>
    </row>
    <row r="620" spans="6:7" ht="12.75">
      <c r="F620" s="389"/>
      <c r="G620" s="389"/>
    </row>
    <row r="621" spans="6:7" ht="12.75">
      <c r="F621" s="389"/>
      <c r="G621" s="389"/>
    </row>
    <row r="622" spans="6:7" ht="12.75">
      <c r="F622" s="389"/>
      <c r="G622" s="389"/>
    </row>
    <row r="623" spans="6:7" ht="12.75">
      <c r="F623" s="389"/>
      <c r="G623" s="389"/>
    </row>
    <row r="624" spans="6:7" ht="12.75">
      <c r="F624" s="389"/>
      <c r="G624" s="389"/>
    </row>
    <row r="625" spans="6:7" ht="12.75">
      <c r="F625" s="389"/>
      <c r="G625" s="389"/>
    </row>
    <row r="626" spans="6:7" ht="12.75">
      <c r="F626" s="389"/>
      <c r="G626" s="389"/>
    </row>
    <row r="627" spans="6:7" ht="12.75">
      <c r="F627" s="389"/>
      <c r="G627" s="389"/>
    </row>
    <row r="628" spans="6:7" ht="12.75">
      <c r="F628" s="389"/>
      <c r="G628" s="389"/>
    </row>
    <row r="629" spans="6:7" ht="12.75">
      <c r="F629" s="389"/>
      <c r="G629" s="389"/>
    </row>
    <row r="630" spans="6:7" ht="12.75">
      <c r="F630" s="389"/>
      <c r="G630" s="389"/>
    </row>
    <row r="631" spans="6:7" ht="12.75">
      <c r="F631" s="389"/>
      <c r="G631" s="389"/>
    </row>
    <row r="632" spans="6:7" ht="12.75">
      <c r="F632" s="389"/>
      <c r="G632" s="389"/>
    </row>
    <row r="633" spans="6:7" ht="12.75">
      <c r="F633" s="389"/>
      <c r="G633" s="389"/>
    </row>
    <row r="634" spans="6:7" ht="12.75">
      <c r="F634" s="389"/>
      <c r="G634" s="389"/>
    </row>
    <row r="635" spans="6:7" ht="12.75">
      <c r="F635" s="389"/>
      <c r="G635" s="389"/>
    </row>
    <row r="636" spans="6:7" ht="12.75">
      <c r="F636" s="389"/>
      <c r="G636" s="389"/>
    </row>
    <row r="637" spans="6:7" ht="12.75">
      <c r="F637" s="389"/>
      <c r="G637" s="389"/>
    </row>
    <row r="638" spans="6:7" ht="12.75">
      <c r="F638" s="389"/>
      <c r="G638" s="389"/>
    </row>
    <row r="639" spans="6:7" ht="12.75">
      <c r="F639" s="389"/>
      <c r="G639" s="389"/>
    </row>
    <row r="640" spans="6:7" ht="12.75">
      <c r="F640" s="389"/>
      <c r="G640" s="389"/>
    </row>
    <row r="641" spans="6:7" ht="12.75">
      <c r="F641" s="389"/>
      <c r="G641" s="389"/>
    </row>
    <row r="642" spans="6:7" ht="12.75">
      <c r="F642" s="389"/>
      <c r="G642" s="389"/>
    </row>
    <row r="643" spans="6:7" ht="12.75">
      <c r="F643" s="389"/>
      <c r="G643" s="389"/>
    </row>
    <row r="644" spans="6:7" ht="12.75">
      <c r="F644" s="389"/>
      <c r="G644" s="389"/>
    </row>
    <row r="645" spans="6:7" ht="12.75">
      <c r="F645" s="389"/>
      <c r="G645" s="389"/>
    </row>
    <row r="646" spans="6:7" ht="12.75">
      <c r="F646" s="389"/>
      <c r="G646" s="389"/>
    </row>
    <row r="647" spans="6:7" ht="12.75">
      <c r="F647" s="389"/>
      <c r="G647" s="389"/>
    </row>
    <row r="648" spans="6:7" ht="12.75">
      <c r="F648" s="389"/>
      <c r="G648" s="389"/>
    </row>
    <row r="649" spans="6:7" ht="12.75">
      <c r="F649" s="389"/>
      <c r="G649" s="389"/>
    </row>
    <row r="650" spans="6:7" ht="12.75">
      <c r="F650" s="389"/>
      <c r="G650" s="389"/>
    </row>
    <row r="651" spans="6:7" ht="12.75">
      <c r="F651" s="389"/>
      <c r="G651" s="389"/>
    </row>
    <row r="652" spans="6:7" ht="12.75">
      <c r="F652" s="389"/>
      <c r="G652" s="389"/>
    </row>
    <row r="653" spans="6:7" ht="12.75">
      <c r="F653" s="389"/>
      <c r="G653" s="389"/>
    </row>
    <row r="654" spans="6:7" ht="12.75">
      <c r="F654" s="389"/>
      <c r="G654" s="389"/>
    </row>
    <row r="655" spans="6:7" ht="12.75">
      <c r="F655" s="389"/>
      <c r="G655" s="389"/>
    </row>
    <row r="656" spans="6:7" ht="12.75">
      <c r="F656" s="389"/>
      <c r="G656" s="389"/>
    </row>
    <row r="657" spans="6:7" ht="12.75">
      <c r="F657" s="389"/>
      <c r="G657" s="389"/>
    </row>
    <row r="658" spans="6:7" ht="12.75">
      <c r="F658" s="389"/>
      <c r="G658" s="389"/>
    </row>
    <row r="659" spans="6:7" ht="12.75">
      <c r="F659" s="389"/>
      <c r="G659" s="389"/>
    </row>
    <row r="660" spans="6:7" ht="12.75">
      <c r="F660" s="389"/>
      <c r="G660" s="389"/>
    </row>
    <row r="661" spans="6:7" ht="12.75">
      <c r="F661" s="389"/>
      <c r="G661" s="389"/>
    </row>
    <row r="662" spans="6:7" ht="12.75">
      <c r="F662" s="389"/>
      <c r="G662" s="389"/>
    </row>
    <row r="663" spans="6:7" ht="12.75">
      <c r="F663" s="389"/>
      <c r="G663" s="389"/>
    </row>
    <row r="664" spans="6:7" ht="12.75">
      <c r="F664" s="389"/>
      <c r="G664" s="389"/>
    </row>
    <row r="665" spans="6:7" ht="12.75">
      <c r="F665" s="389"/>
      <c r="G665" s="389"/>
    </row>
    <row r="666" spans="6:7" ht="12.75">
      <c r="F666" s="389"/>
      <c r="G666" s="389"/>
    </row>
    <row r="667" spans="6:7" ht="12.75">
      <c r="F667" s="389"/>
      <c r="G667" s="389"/>
    </row>
    <row r="668" spans="6:7" ht="12.75">
      <c r="F668" s="389"/>
      <c r="G668" s="389"/>
    </row>
    <row r="669" spans="6:7" ht="12.75">
      <c r="F669" s="389"/>
      <c r="G669" s="389"/>
    </row>
    <row r="670" spans="6:7" ht="12.75">
      <c r="F670" s="389"/>
      <c r="G670" s="389"/>
    </row>
    <row r="671" spans="6:7" ht="12.75">
      <c r="F671" s="389"/>
      <c r="G671" s="389"/>
    </row>
    <row r="672" spans="6:7" ht="12.75">
      <c r="F672" s="389"/>
      <c r="G672" s="389"/>
    </row>
    <row r="673" spans="6:7" ht="12.75">
      <c r="F673" s="389"/>
      <c r="G673" s="389"/>
    </row>
    <row r="674" spans="6:7" ht="12.75">
      <c r="F674" s="389"/>
      <c r="G674" s="389"/>
    </row>
    <row r="675" spans="6:7" ht="12.75">
      <c r="F675" s="389"/>
      <c r="G675" s="389"/>
    </row>
    <row r="676" spans="6:7" ht="12.75">
      <c r="F676" s="389"/>
      <c r="G676" s="389"/>
    </row>
    <row r="677" spans="6:7" ht="12.75">
      <c r="F677" s="389"/>
      <c r="G677" s="389"/>
    </row>
    <row r="678" spans="6:7" ht="12.75">
      <c r="F678" s="389"/>
      <c r="G678" s="389"/>
    </row>
    <row r="679" spans="6:7" ht="12.75">
      <c r="F679" s="389"/>
      <c r="G679" s="389"/>
    </row>
    <row r="680" spans="6:7" ht="12.75">
      <c r="F680" s="389"/>
      <c r="G680" s="389"/>
    </row>
    <row r="681" spans="6:7" ht="12.75">
      <c r="F681" s="389"/>
      <c r="G681" s="389"/>
    </row>
    <row r="682" spans="6:7" ht="12.75">
      <c r="F682" s="389"/>
      <c r="G682" s="389"/>
    </row>
    <row r="683" spans="6:7" ht="12.75">
      <c r="F683" s="389"/>
      <c r="G683" s="389"/>
    </row>
    <row r="684" spans="6:7" ht="12.75">
      <c r="F684" s="389"/>
      <c r="G684" s="389"/>
    </row>
    <row r="685" spans="6:7" ht="12.75">
      <c r="F685" s="389"/>
      <c r="G685" s="389"/>
    </row>
    <row r="686" spans="6:7" ht="12.75">
      <c r="F686" s="389"/>
      <c r="G686" s="389"/>
    </row>
    <row r="687" spans="6:7" ht="12.75">
      <c r="F687" s="389"/>
      <c r="G687" s="389"/>
    </row>
    <row r="688" spans="6:7" ht="12.75">
      <c r="F688" s="389"/>
      <c r="G688" s="389"/>
    </row>
    <row r="689" spans="6:7" ht="12.75">
      <c r="F689" s="389"/>
      <c r="G689" s="389"/>
    </row>
    <row r="690" spans="6:7" ht="12.75">
      <c r="F690" s="389"/>
      <c r="G690" s="389"/>
    </row>
    <row r="691" spans="6:7" ht="12.75">
      <c r="F691" s="389"/>
      <c r="G691" s="389"/>
    </row>
    <row r="692" spans="6:7" ht="12.75">
      <c r="F692" s="389"/>
      <c r="G692" s="389"/>
    </row>
    <row r="693" spans="6:7" ht="12.75">
      <c r="F693" s="389"/>
      <c r="G693" s="389"/>
    </row>
    <row r="694" spans="6:7" ht="12.75">
      <c r="F694" s="389"/>
      <c r="G694" s="389"/>
    </row>
    <row r="695" spans="6:7" ht="12.75">
      <c r="F695" s="389"/>
      <c r="G695" s="389"/>
    </row>
    <row r="696" spans="6:7" ht="12.75">
      <c r="F696" s="389"/>
      <c r="G696" s="389"/>
    </row>
    <row r="697" spans="6:7" ht="12.75">
      <c r="F697" s="389"/>
      <c r="G697" s="389"/>
    </row>
    <row r="698" spans="6:7" ht="12.75">
      <c r="F698" s="389"/>
      <c r="G698" s="389"/>
    </row>
    <row r="699" spans="6:7" ht="12.75">
      <c r="F699" s="389"/>
      <c r="G699" s="389"/>
    </row>
    <row r="700" spans="6:7" ht="12.75">
      <c r="F700" s="389"/>
      <c r="G700" s="389"/>
    </row>
    <row r="701" spans="6:7" ht="12.75">
      <c r="F701" s="389"/>
      <c r="G701" s="389"/>
    </row>
    <row r="702" spans="6:7" ht="12.75">
      <c r="F702" s="389"/>
      <c r="G702" s="389"/>
    </row>
    <row r="703" spans="6:7" ht="12.75">
      <c r="F703" s="389"/>
      <c r="G703" s="389"/>
    </row>
    <row r="704" spans="6:7" ht="12.75">
      <c r="F704" s="389"/>
      <c r="G704" s="389"/>
    </row>
    <row r="705" spans="6:7" ht="12.75">
      <c r="F705" s="389"/>
      <c r="G705" s="389"/>
    </row>
    <row r="706" spans="6:7" ht="12.75">
      <c r="F706" s="389"/>
      <c r="G706" s="389"/>
    </row>
    <row r="707" spans="6:7" ht="12.75">
      <c r="F707" s="389"/>
      <c r="G707" s="389"/>
    </row>
    <row r="708" spans="6:7" ht="12.75">
      <c r="F708" s="389"/>
      <c r="G708" s="389"/>
    </row>
    <row r="709" spans="6:7" ht="12.75">
      <c r="F709" s="389"/>
      <c r="G709" s="389"/>
    </row>
    <row r="710" spans="6:7" ht="12.75">
      <c r="F710" s="389"/>
      <c r="G710" s="389"/>
    </row>
    <row r="711" spans="6:7" ht="12.75">
      <c r="F711" s="389"/>
      <c r="G711" s="389"/>
    </row>
    <row r="712" spans="6:7" ht="12.75">
      <c r="F712" s="389"/>
      <c r="G712" s="389"/>
    </row>
    <row r="713" spans="6:7" ht="12.75">
      <c r="F713" s="389"/>
      <c r="G713" s="389"/>
    </row>
    <row r="714" spans="6:7" ht="12.75">
      <c r="F714" s="389"/>
      <c r="G714" s="389"/>
    </row>
    <row r="715" spans="6:7" ht="12.75">
      <c r="F715" s="389"/>
      <c r="G715" s="389"/>
    </row>
    <row r="716" spans="6:7" ht="12.75">
      <c r="F716" s="389"/>
      <c r="G716" s="389"/>
    </row>
    <row r="717" spans="6:7" ht="12.75">
      <c r="F717" s="389"/>
      <c r="G717" s="389"/>
    </row>
    <row r="718" spans="6:7" ht="12.75">
      <c r="F718" s="389"/>
      <c r="G718" s="389"/>
    </row>
    <row r="719" spans="6:7" ht="12.75">
      <c r="F719" s="389"/>
      <c r="G719" s="389"/>
    </row>
    <row r="720" spans="6:7" ht="12.75">
      <c r="F720" s="389"/>
      <c r="G720" s="389"/>
    </row>
    <row r="721" spans="6:7" ht="12.75">
      <c r="F721" s="389"/>
      <c r="G721" s="389"/>
    </row>
    <row r="722" spans="6:7" ht="12.75">
      <c r="F722" s="389"/>
      <c r="G722" s="389"/>
    </row>
    <row r="723" spans="6:7" ht="12.75">
      <c r="F723" s="389"/>
      <c r="G723" s="389"/>
    </row>
    <row r="724" spans="6:7" ht="12.75">
      <c r="F724" s="389"/>
      <c r="G724" s="389"/>
    </row>
    <row r="725" spans="6:7" ht="12.75">
      <c r="F725" s="389"/>
      <c r="G725" s="389"/>
    </row>
    <row r="726" spans="6:7" ht="12.75">
      <c r="F726" s="389"/>
      <c r="G726" s="389"/>
    </row>
    <row r="727" spans="6:7" ht="12.75">
      <c r="F727" s="389"/>
      <c r="G727" s="389"/>
    </row>
    <row r="728" spans="6:7" ht="12.75">
      <c r="F728" s="389"/>
      <c r="G728" s="389"/>
    </row>
    <row r="729" spans="6:7" ht="12.75">
      <c r="F729" s="389"/>
      <c r="G729" s="389"/>
    </row>
    <row r="730" spans="6:7" ht="12.75">
      <c r="F730" s="389"/>
      <c r="G730" s="389"/>
    </row>
    <row r="731" spans="6:7" ht="12.75">
      <c r="F731" s="389"/>
      <c r="G731" s="389"/>
    </row>
    <row r="732" spans="6:7" ht="12.75">
      <c r="F732" s="389"/>
      <c r="G732" s="389"/>
    </row>
    <row r="733" spans="6:7" ht="12.75">
      <c r="F733" s="389"/>
      <c r="G733" s="389"/>
    </row>
    <row r="734" spans="6:7" ht="12.75">
      <c r="F734" s="389"/>
      <c r="G734" s="389"/>
    </row>
    <row r="735" spans="6:7" ht="12.75">
      <c r="F735" s="389"/>
      <c r="G735" s="389"/>
    </row>
    <row r="736" spans="6:7" ht="12.75">
      <c r="F736" s="389"/>
      <c r="G736" s="389"/>
    </row>
    <row r="737" spans="6:7" ht="12.75">
      <c r="F737" s="389"/>
      <c r="G737" s="389"/>
    </row>
    <row r="738" spans="6:7" ht="12.75">
      <c r="F738" s="389"/>
      <c r="G738" s="389"/>
    </row>
    <row r="739" spans="6:7" ht="12.75">
      <c r="F739" s="389"/>
      <c r="G739" s="389"/>
    </row>
    <row r="740" spans="6:7" ht="12.75">
      <c r="F740" s="389"/>
      <c r="G740" s="389"/>
    </row>
    <row r="741" spans="6:7" ht="12.75">
      <c r="F741" s="389"/>
      <c r="G741" s="389"/>
    </row>
    <row r="742" spans="6:7" ht="12.75">
      <c r="F742" s="389"/>
      <c r="G742" s="389"/>
    </row>
    <row r="743" spans="6:7" ht="12.75">
      <c r="F743" s="389"/>
      <c r="G743" s="389"/>
    </row>
    <row r="744" spans="6:7" ht="12.75">
      <c r="F744" s="389"/>
      <c r="G744" s="389"/>
    </row>
    <row r="745" spans="6:7" ht="12.75">
      <c r="F745" s="389"/>
      <c r="G745" s="389"/>
    </row>
    <row r="746" spans="6:7" ht="12.75">
      <c r="F746" s="389"/>
      <c r="G746" s="389"/>
    </row>
    <row r="747" spans="6:7" ht="12.75">
      <c r="F747" s="389"/>
      <c r="G747" s="389"/>
    </row>
    <row r="748" spans="6:7" ht="12.75">
      <c r="F748" s="389"/>
      <c r="G748" s="389"/>
    </row>
    <row r="749" spans="6:7" ht="12.75">
      <c r="F749" s="389"/>
      <c r="G749" s="389"/>
    </row>
    <row r="750" spans="6:7" ht="12.75">
      <c r="F750" s="389"/>
      <c r="G750" s="389"/>
    </row>
    <row r="751" spans="6:7" ht="12.75">
      <c r="F751" s="389"/>
      <c r="G751" s="389"/>
    </row>
    <row r="752" spans="6:7" ht="12.75">
      <c r="F752" s="389"/>
      <c r="G752" s="389"/>
    </row>
    <row r="753" spans="6:7" ht="12.75">
      <c r="F753" s="389"/>
      <c r="G753" s="389"/>
    </row>
    <row r="754" spans="6:7" ht="12.75">
      <c r="F754" s="389"/>
      <c r="G754" s="389"/>
    </row>
    <row r="755" spans="6:7" ht="12.75">
      <c r="F755" s="389"/>
      <c r="G755" s="389"/>
    </row>
    <row r="756" spans="6:7" ht="12.75">
      <c r="F756" s="389"/>
      <c r="G756" s="389"/>
    </row>
    <row r="757" spans="6:7" ht="12.75">
      <c r="F757" s="389"/>
      <c r="G757" s="389"/>
    </row>
    <row r="758" spans="6:7" ht="12.75">
      <c r="F758" s="389"/>
      <c r="G758" s="389"/>
    </row>
    <row r="759" spans="6:7" ht="12.75">
      <c r="F759" s="389"/>
      <c r="G759" s="389"/>
    </row>
    <row r="760" spans="6:7" ht="12.75">
      <c r="F760" s="389"/>
      <c r="G760" s="389"/>
    </row>
    <row r="761" spans="6:7" ht="12.75">
      <c r="F761" s="389"/>
      <c r="G761" s="389"/>
    </row>
    <row r="762" spans="6:7" ht="12.75">
      <c r="F762" s="389"/>
      <c r="G762" s="389"/>
    </row>
    <row r="763" spans="6:7" ht="12.75">
      <c r="F763" s="389"/>
      <c r="G763" s="389"/>
    </row>
    <row r="764" spans="6:7" ht="12.75">
      <c r="F764" s="389"/>
      <c r="G764" s="389"/>
    </row>
    <row r="765" spans="6:7" ht="12.75">
      <c r="F765" s="389"/>
      <c r="G765" s="389"/>
    </row>
    <row r="766" spans="6:7" ht="12.75">
      <c r="F766" s="389"/>
      <c r="G766" s="389"/>
    </row>
    <row r="767" spans="6:7" ht="12.75">
      <c r="F767" s="389"/>
      <c r="G767" s="389"/>
    </row>
    <row r="768" spans="6:7" ht="12.75">
      <c r="F768" s="389"/>
      <c r="G768" s="389"/>
    </row>
    <row r="769" spans="6:7" ht="12.75">
      <c r="F769" s="389"/>
      <c r="G769" s="389"/>
    </row>
    <row r="770" spans="6:7" ht="12.75">
      <c r="F770" s="389"/>
      <c r="G770" s="389"/>
    </row>
    <row r="771" spans="6:7" ht="12.75">
      <c r="F771" s="389"/>
      <c r="G771" s="389"/>
    </row>
    <row r="772" spans="6:7" ht="12.75">
      <c r="F772" s="389"/>
      <c r="G772" s="389"/>
    </row>
    <row r="773" spans="6:7" ht="12.75">
      <c r="F773" s="389"/>
      <c r="G773" s="389"/>
    </row>
    <row r="774" spans="6:7" ht="12.75">
      <c r="F774" s="389"/>
      <c r="G774" s="389"/>
    </row>
    <row r="775" spans="6:7" ht="12.75">
      <c r="F775" s="389"/>
      <c r="G775" s="389"/>
    </row>
    <row r="776" spans="6:7" ht="12.75">
      <c r="F776" s="389"/>
      <c r="G776" s="389"/>
    </row>
    <row r="777" spans="6:7" ht="12.75">
      <c r="F777" s="389"/>
      <c r="G777" s="389"/>
    </row>
    <row r="778" spans="6:7" ht="12.75">
      <c r="F778" s="389"/>
      <c r="G778" s="389"/>
    </row>
    <row r="779" spans="6:7" ht="12.75">
      <c r="F779" s="389"/>
      <c r="G779" s="389"/>
    </row>
    <row r="780" spans="6:7" ht="12.75">
      <c r="F780" s="389"/>
      <c r="G780" s="389"/>
    </row>
    <row r="781" spans="6:7" ht="12.75">
      <c r="F781" s="389"/>
      <c r="G781" s="389"/>
    </row>
    <row r="782" spans="6:7" ht="12.75">
      <c r="F782" s="389"/>
      <c r="G782" s="389"/>
    </row>
    <row r="783" spans="6:7" ht="12.75">
      <c r="F783" s="389"/>
      <c r="G783" s="389"/>
    </row>
    <row r="784" spans="6:7" ht="12.75">
      <c r="F784" s="389"/>
      <c r="G784" s="389"/>
    </row>
    <row r="785" spans="6:7" ht="12.75">
      <c r="F785" s="389"/>
      <c r="G785" s="389"/>
    </row>
    <row r="786" spans="6:7" ht="12.75">
      <c r="F786" s="389"/>
      <c r="G786" s="389"/>
    </row>
    <row r="787" spans="6:7" ht="12.75">
      <c r="F787" s="389"/>
      <c r="G787" s="389"/>
    </row>
    <row r="788" spans="6:7" ht="12.75">
      <c r="F788" s="389"/>
      <c r="G788" s="389"/>
    </row>
    <row r="789" spans="6:7" ht="12.75">
      <c r="F789" s="389"/>
      <c r="G789" s="389"/>
    </row>
    <row r="790" spans="6:7" ht="12.75">
      <c r="F790" s="389"/>
      <c r="G790" s="389"/>
    </row>
    <row r="791" spans="6:7" ht="12.75">
      <c r="F791" s="389"/>
      <c r="G791" s="389"/>
    </row>
    <row r="792" spans="6:7" ht="12.75">
      <c r="F792" s="389"/>
      <c r="G792" s="389"/>
    </row>
    <row r="793" spans="6:7" ht="12.75">
      <c r="F793" s="389"/>
      <c r="G793" s="389"/>
    </row>
    <row r="794" spans="6:7" ht="12.75">
      <c r="F794" s="389"/>
      <c r="G794" s="389"/>
    </row>
    <row r="795" spans="6:7" ht="12.75">
      <c r="F795" s="389"/>
      <c r="G795" s="389"/>
    </row>
    <row r="796" spans="6:7" ht="12.75">
      <c r="F796" s="389"/>
      <c r="G796" s="389"/>
    </row>
    <row r="797" spans="6:7" ht="12.75">
      <c r="F797" s="389"/>
      <c r="G797" s="389"/>
    </row>
    <row r="798" spans="6:7" ht="12.75">
      <c r="F798" s="389"/>
      <c r="G798" s="389"/>
    </row>
    <row r="799" spans="6:7" ht="12.75">
      <c r="F799" s="389"/>
      <c r="G799" s="389"/>
    </row>
    <row r="800" spans="6:7" ht="12.75">
      <c r="F800" s="389"/>
      <c r="G800" s="389"/>
    </row>
    <row r="801" spans="6:7" ht="12.75">
      <c r="F801" s="389"/>
      <c r="G801" s="389"/>
    </row>
    <row r="802" spans="6:7" ht="12.75">
      <c r="F802" s="389"/>
      <c r="G802" s="389"/>
    </row>
    <row r="803" spans="6:7" ht="12.75">
      <c r="F803" s="389"/>
      <c r="G803" s="389"/>
    </row>
    <row r="804" spans="6:7" ht="12.75">
      <c r="F804" s="389"/>
      <c r="G804" s="389"/>
    </row>
    <row r="805" spans="6:7" ht="12.75">
      <c r="F805" s="389"/>
      <c r="G805" s="389"/>
    </row>
    <row r="806" spans="6:7" ht="12.75">
      <c r="F806" s="389"/>
      <c r="G806" s="389"/>
    </row>
    <row r="807" spans="6:7" ht="12.75">
      <c r="F807" s="389"/>
      <c r="G807" s="389"/>
    </row>
    <row r="808" spans="6:7" ht="12.75">
      <c r="F808" s="389"/>
      <c r="G808" s="389"/>
    </row>
    <row r="809" spans="6:7" ht="12.75">
      <c r="F809" s="389"/>
      <c r="G809" s="389"/>
    </row>
    <row r="810" spans="6:7" ht="12.75">
      <c r="F810" s="389"/>
      <c r="G810" s="389"/>
    </row>
    <row r="811" spans="6:7" ht="12.75">
      <c r="F811" s="389"/>
      <c r="G811" s="389"/>
    </row>
    <row r="812" spans="6:7" ht="12.75">
      <c r="F812" s="389"/>
      <c r="G812" s="389"/>
    </row>
    <row r="813" spans="6:7" ht="12.75">
      <c r="F813" s="389"/>
      <c r="G813" s="389"/>
    </row>
    <row r="814" spans="6:7" ht="12.75">
      <c r="F814" s="389"/>
      <c r="G814" s="389"/>
    </row>
    <row r="815" spans="6:7" ht="12.75">
      <c r="F815" s="389"/>
      <c r="G815" s="389"/>
    </row>
    <row r="816" spans="6:7" ht="12.75">
      <c r="F816" s="389"/>
      <c r="G816" s="389"/>
    </row>
    <row r="817" spans="6:7" ht="12.75">
      <c r="F817" s="389"/>
      <c r="G817" s="389"/>
    </row>
    <row r="818" spans="6:7" ht="12.75">
      <c r="F818" s="389"/>
      <c r="G818" s="389"/>
    </row>
    <row r="819" spans="6:7" ht="12.75">
      <c r="F819" s="389"/>
      <c r="G819" s="389"/>
    </row>
    <row r="820" spans="6:7" ht="12.75">
      <c r="F820" s="389"/>
      <c r="G820" s="389"/>
    </row>
    <row r="821" spans="6:7" ht="12.75">
      <c r="F821" s="389"/>
      <c r="G821" s="389"/>
    </row>
    <row r="822" spans="6:7" ht="12.75">
      <c r="F822" s="389"/>
      <c r="G822" s="389"/>
    </row>
    <row r="823" spans="6:7" ht="12.75">
      <c r="F823" s="389"/>
      <c r="G823" s="389"/>
    </row>
    <row r="824" spans="6:7" ht="12.75">
      <c r="F824" s="389"/>
      <c r="G824" s="389"/>
    </row>
    <row r="825" spans="6:7" ht="12.75">
      <c r="F825" s="389"/>
      <c r="G825" s="389"/>
    </row>
    <row r="826" spans="6:7" ht="12.75">
      <c r="F826" s="389"/>
      <c r="G826" s="389"/>
    </row>
    <row r="827" spans="6:7" ht="12.75">
      <c r="F827" s="389"/>
      <c r="G827" s="389"/>
    </row>
    <row r="828" spans="6:7" ht="12.75">
      <c r="F828" s="389"/>
      <c r="G828" s="389"/>
    </row>
    <row r="829" spans="6:7" ht="12.75">
      <c r="F829" s="389"/>
      <c r="G829" s="389"/>
    </row>
    <row r="830" spans="6:7" ht="12.75">
      <c r="F830" s="389"/>
      <c r="G830" s="389"/>
    </row>
    <row r="831" spans="6:7" ht="12.75">
      <c r="F831" s="389"/>
      <c r="G831" s="389"/>
    </row>
    <row r="832" spans="6:7" ht="12.75">
      <c r="F832" s="389"/>
      <c r="G832" s="389"/>
    </row>
    <row r="833" spans="6:7" ht="12.75">
      <c r="F833" s="389"/>
      <c r="G833" s="389"/>
    </row>
    <row r="834" spans="6:7" ht="12.75">
      <c r="F834" s="389"/>
      <c r="G834" s="389"/>
    </row>
    <row r="835" spans="6:7" ht="12.75">
      <c r="F835" s="389"/>
      <c r="G835" s="389"/>
    </row>
    <row r="836" spans="6:7" ht="12.75">
      <c r="F836" s="389"/>
      <c r="G836" s="389"/>
    </row>
    <row r="837" spans="6:7" ht="12.75">
      <c r="F837" s="389"/>
      <c r="G837" s="389"/>
    </row>
    <row r="838" spans="6:7" ht="12.75">
      <c r="F838" s="389"/>
      <c r="G838" s="389"/>
    </row>
    <row r="839" spans="6:7" ht="12.75">
      <c r="F839" s="389"/>
      <c r="G839" s="389"/>
    </row>
    <row r="840" spans="6:7" ht="12.75">
      <c r="F840" s="389"/>
      <c r="G840" s="389"/>
    </row>
    <row r="841" spans="6:7" ht="12.75">
      <c r="F841" s="389"/>
      <c r="G841" s="389"/>
    </row>
    <row r="842" spans="6:7" ht="12.75">
      <c r="F842" s="389"/>
      <c r="G842" s="389"/>
    </row>
    <row r="843" spans="6:7" ht="12.75">
      <c r="F843" s="389"/>
      <c r="G843" s="389"/>
    </row>
    <row r="844" spans="6:7" ht="12.75">
      <c r="F844" s="389"/>
      <c r="G844" s="389"/>
    </row>
    <row r="845" spans="6:7" ht="12.75">
      <c r="F845" s="389"/>
      <c r="G845" s="389"/>
    </row>
    <row r="846" spans="6:7" ht="12.75">
      <c r="F846" s="389"/>
      <c r="G846" s="389"/>
    </row>
    <row r="847" spans="6:7" ht="12.75">
      <c r="F847" s="389"/>
      <c r="G847" s="389"/>
    </row>
    <row r="848" spans="6:7" ht="12.75">
      <c r="F848" s="389"/>
      <c r="G848" s="389"/>
    </row>
    <row r="849" spans="6:7" ht="12.75">
      <c r="F849" s="389"/>
      <c r="G849" s="389"/>
    </row>
    <row r="850" spans="6:7" ht="12.75">
      <c r="F850" s="389"/>
      <c r="G850" s="389"/>
    </row>
    <row r="851" spans="6:7" ht="12.75">
      <c r="F851" s="389"/>
      <c r="G851" s="389"/>
    </row>
    <row r="852" spans="6:7" ht="12.75">
      <c r="F852" s="389"/>
      <c r="G852" s="389"/>
    </row>
    <row r="853" spans="6:7" ht="12.75">
      <c r="F853" s="389"/>
      <c r="G853" s="389"/>
    </row>
    <row r="854" spans="6:7" ht="12.75">
      <c r="F854" s="389"/>
      <c r="G854" s="389"/>
    </row>
    <row r="855" spans="6:7" ht="12.75">
      <c r="F855" s="389"/>
      <c r="G855" s="389"/>
    </row>
    <row r="856" spans="6:7" ht="12.75">
      <c r="F856" s="389"/>
      <c r="G856" s="389"/>
    </row>
    <row r="857" spans="6:7" ht="12.75">
      <c r="F857" s="389"/>
      <c r="G857" s="389"/>
    </row>
    <row r="858" spans="6:7" ht="12.75">
      <c r="F858" s="389"/>
      <c r="G858" s="389"/>
    </row>
    <row r="859" spans="6:7" ht="12.75">
      <c r="F859" s="389"/>
      <c r="G859" s="389"/>
    </row>
    <row r="860" spans="6:7" ht="12.75">
      <c r="F860" s="389"/>
      <c r="G860" s="389"/>
    </row>
    <row r="861" spans="6:7" ht="12.75">
      <c r="F861" s="389"/>
      <c r="G861" s="389"/>
    </row>
    <row r="862" spans="6:7" ht="12.75">
      <c r="F862" s="389"/>
      <c r="G862" s="389"/>
    </row>
    <row r="863" spans="6:7" ht="12.75">
      <c r="F863" s="389"/>
      <c r="G863" s="389"/>
    </row>
    <row r="864" spans="6:7" ht="12.75">
      <c r="F864" s="389"/>
      <c r="G864" s="389"/>
    </row>
    <row r="865" spans="6:7" ht="12.75">
      <c r="F865" s="389"/>
      <c r="G865" s="389"/>
    </row>
    <row r="866" spans="6:7" ht="12.75">
      <c r="F866" s="389"/>
      <c r="G866" s="389"/>
    </row>
    <row r="867" spans="6:7" ht="12.75">
      <c r="F867" s="389"/>
      <c r="G867" s="389"/>
    </row>
    <row r="868" spans="6:7" ht="12.75">
      <c r="F868" s="389"/>
      <c r="G868" s="389"/>
    </row>
    <row r="869" spans="6:7" ht="12.75">
      <c r="F869" s="389"/>
      <c r="G869" s="389"/>
    </row>
    <row r="870" spans="6:7" ht="12.75">
      <c r="F870" s="389"/>
      <c r="G870" s="389"/>
    </row>
    <row r="871" spans="6:7" ht="12.75">
      <c r="F871" s="389"/>
      <c r="G871" s="389"/>
    </row>
    <row r="872" spans="6:7" ht="12.75">
      <c r="F872" s="389"/>
      <c r="G872" s="389"/>
    </row>
    <row r="873" spans="6:7" ht="12.75">
      <c r="F873" s="389"/>
      <c r="G873" s="389"/>
    </row>
    <row r="874" spans="6:7" ht="12.75">
      <c r="F874" s="389"/>
      <c r="G874" s="389"/>
    </row>
    <row r="875" spans="6:7" ht="12.75">
      <c r="F875" s="389"/>
      <c r="G875" s="389"/>
    </row>
    <row r="876" spans="6:7" ht="12.75">
      <c r="F876" s="389"/>
      <c r="G876" s="389"/>
    </row>
    <row r="877" spans="6:7" ht="12.75">
      <c r="F877" s="389"/>
      <c r="G877" s="389"/>
    </row>
    <row r="878" spans="6:7" ht="12.75">
      <c r="F878" s="389"/>
      <c r="G878" s="389"/>
    </row>
    <row r="879" spans="6:7" ht="12.75">
      <c r="F879" s="389"/>
      <c r="G879" s="389"/>
    </row>
    <row r="880" spans="6:7" ht="12.75">
      <c r="F880" s="389"/>
      <c r="G880" s="389"/>
    </row>
    <row r="881" spans="6:7" ht="12.75">
      <c r="F881" s="389"/>
      <c r="G881" s="389"/>
    </row>
    <row r="882" spans="6:7" ht="12.75">
      <c r="F882" s="389"/>
      <c r="G882" s="389"/>
    </row>
    <row r="883" spans="6:7" ht="12.75">
      <c r="F883" s="389"/>
      <c r="G883" s="389"/>
    </row>
    <row r="884" spans="6:7" ht="12.75">
      <c r="F884" s="389"/>
      <c r="G884" s="389"/>
    </row>
    <row r="885" spans="6:7" ht="12.75">
      <c r="F885" s="389"/>
      <c r="G885" s="389"/>
    </row>
    <row r="886" spans="6:7" ht="12.75">
      <c r="F886" s="389"/>
      <c r="G886" s="389"/>
    </row>
    <row r="887" spans="6:7" ht="12.75">
      <c r="F887" s="389"/>
      <c r="G887" s="389"/>
    </row>
    <row r="888" spans="6:7" ht="12.75">
      <c r="F888" s="389"/>
      <c r="G888" s="389"/>
    </row>
    <row r="889" spans="6:7" ht="12.75">
      <c r="F889" s="389"/>
      <c r="G889" s="389"/>
    </row>
    <row r="890" spans="6:7" ht="12.75">
      <c r="F890" s="389"/>
      <c r="G890" s="389"/>
    </row>
  </sheetData>
  <autoFilter ref="A1:H195" xr:uid="{00000000-0009-0000-0000-00000D000000}"/>
  <phoneticPr fontId="8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1:N961"/>
  <sheetViews>
    <sheetView workbookViewId="0"/>
  </sheetViews>
  <sheetFormatPr defaultColWidth="14.42578125" defaultRowHeight="15.75" customHeight="1"/>
  <cols>
    <col min="8" max="8" width="6.42578125" customWidth="1"/>
    <col min="9" max="10" width="39.7109375" customWidth="1"/>
  </cols>
  <sheetData>
    <row r="1" spans="2:14" ht="15.75" customHeight="1">
      <c r="B1" s="412"/>
      <c r="C1" s="412"/>
      <c r="D1" s="412"/>
      <c r="E1" s="412"/>
      <c r="F1" s="412"/>
      <c r="G1" s="412"/>
    </row>
    <row r="2" spans="2:14" ht="15.75" customHeight="1">
      <c r="B2" s="940" t="s">
        <v>224</v>
      </c>
      <c r="C2" s="905"/>
      <c r="D2" s="905"/>
      <c r="E2" s="905"/>
      <c r="F2" s="905"/>
      <c r="G2" s="413"/>
    </row>
    <row r="3" spans="2:14" ht="15.75" customHeight="1">
      <c r="B3" s="414" t="s">
        <v>225</v>
      </c>
      <c r="C3" s="415" t="s">
        <v>226</v>
      </c>
      <c r="D3" s="414" t="s">
        <v>227</v>
      </c>
      <c r="E3" s="414" t="s">
        <v>228</v>
      </c>
      <c r="F3" s="414" t="s">
        <v>229</v>
      </c>
      <c r="G3" s="412"/>
    </row>
    <row r="4" spans="2:14">
      <c r="B4" s="416" t="s">
        <v>63</v>
      </c>
      <c r="C4" s="417" t="s">
        <v>230</v>
      </c>
      <c r="D4" s="417" t="s">
        <v>231</v>
      </c>
      <c r="E4" s="417" t="s">
        <v>232</v>
      </c>
      <c r="F4" s="417" t="s">
        <v>233</v>
      </c>
      <c r="G4" s="412"/>
    </row>
    <row r="5" spans="2:14" ht="15.75" customHeight="1">
      <c r="B5" s="418" t="s">
        <v>234</v>
      </c>
      <c r="C5" s="419">
        <v>2</v>
      </c>
      <c r="D5" s="420">
        <v>45965</v>
      </c>
      <c r="E5" s="419">
        <v>2</v>
      </c>
      <c r="F5" s="421">
        <v>0</v>
      </c>
      <c r="G5" s="412"/>
    </row>
    <row r="6" spans="2:14" ht="15.75" customHeight="1">
      <c r="B6" s="418" t="s">
        <v>234</v>
      </c>
      <c r="C6" s="419">
        <v>6</v>
      </c>
      <c r="D6" s="420">
        <v>45991</v>
      </c>
      <c r="E6" s="419">
        <v>6</v>
      </c>
      <c r="F6" s="421">
        <v>0</v>
      </c>
      <c r="G6" s="412"/>
      <c r="H6" s="422" t="s">
        <v>235</v>
      </c>
      <c r="I6" s="422" t="s">
        <v>63</v>
      </c>
      <c r="J6" s="422" t="s">
        <v>63</v>
      </c>
      <c r="K6" s="422" t="s">
        <v>236</v>
      </c>
      <c r="L6" s="422" t="s">
        <v>237</v>
      </c>
      <c r="M6" s="422" t="s">
        <v>233</v>
      </c>
    </row>
    <row r="7" spans="2:14" ht="15.75" customHeight="1">
      <c r="B7" s="418" t="s">
        <v>234</v>
      </c>
      <c r="C7" s="419">
        <v>1</v>
      </c>
      <c r="D7" s="420">
        <v>46233</v>
      </c>
      <c r="E7" s="419">
        <v>1</v>
      </c>
      <c r="F7" s="421">
        <v>0</v>
      </c>
      <c r="G7" s="412"/>
      <c r="H7" s="423">
        <v>6</v>
      </c>
      <c r="I7" s="424" t="s">
        <v>238</v>
      </c>
      <c r="J7" s="424" t="s">
        <v>239</v>
      </c>
      <c r="K7" s="423">
        <f t="shared" ref="K7:K22" si="0">SUMIF($B:$B,$I7,$F:$F)</f>
        <v>5161</v>
      </c>
      <c r="L7" s="423">
        <v>1757</v>
      </c>
      <c r="M7" s="423">
        <f t="shared" ref="M7:M22" si="1">K7-L7</f>
        <v>3404</v>
      </c>
    </row>
    <row r="8" spans="2:14" ht="15.75" customHeight="1">
      <c r="B8" s="418" t="s">
        <v>234</v>
      </c>
      <c r="C8" s="419">
        <v>36</v>
      </c>
      <c r="D8" s="420">
        <v>46418</v>
      </c>
      <c r="E8" s="419">
        <v>0</v>
      </c>
      <c r="F8" s="421">
        <v>36</v>
      </c>
      <c r="G8" s="412"/>
      <c r="H8" s="423">
        <v>6</v>
      </c>
      <c r="I8" s="424" t="s">
        <v>240</v>
      </c>
      <c r="J8" s="424" t="s">
        <v>241</v>
      </c>
      <c r="K8" s="423">
        <f t="shared" si="0"/>
        <v>9670</v>
      </c>
      <c r="L8" s="423">
        <v>0</v>
      </c>
      <c r="M8" s="423">
        <f t="shared" si="1"/>
        <v>9670</v>
      </c>
      <c r="N8" s="118"/>
    </row>
    <row r="9" spans="2:14" ht="15.75" customHeight="1">
      <c r="B9" s="418" t="s">
        <v>234</v>
      </c>
      <c r="C9" s="425">
        <v>2949</v>
      </c>
      <c r="D9" s="420">
        <v>46636</v>
      </c>
      <c r="E9" s="419">
        <v>0</v>
      </c>
      <c r="F9" s="427">
        <v>2949</v>
      </c>
      <c r="G9" s="412"/>
      <c r="H9" s="423">
        <v>4</v>
      </c>
      <c r="I9" s="424" t="s">
        <v>242</v>
      </c>
      <c r="J9" s="424" t="s">
        <v>119</v>
      </c>
      <c r="K9" s="423">
        <f t="shared" si="0"/>
        <v>5755</v>
      </c>
      <c r="L9" s="423">
        <v>0</v>
      </c>
      <c r="M9" s="429">
        <f t="shared" si="1"/>
        <v>5755</v>
      </c>
      <c r="N9" s="118"/>
    </row>
    <row r="10" spans="2:14" ht="15.75" customHeight="1">
      <c r="B10" s="418" t="s">
        <v>243</v>
      </c>
      <c r="C10" s="419">
        <v>1</v>
      </c>
      <c r="D10" s="420">
        <v>45844</v>
      </c>
      <c r="E10" s="419">
        <v>1</v>
      </c>
      <c r="F10" s="421">
        <v>0</v>
      </c>
      <c r="G10" s="412"/>
      <c r="H10" s="423">
        <v>6</v>
      </c>
      <c r="I10" s="424" t="s">
        <v>244</v>
      </c>
      <c r="J10" s="424" t="s">
        <v>30</v>
      </c>
      <c r="K10" s="423">
        <f t="shared" si="0"/>
        <v>5683</v>
      </c>
      <c r="L10" s="423">
        <v>131</v>
      </c>
      <c r="M10" s="429">
        <f t="shared" si="1"/>
        <v>5552</v>
      </c>
      <c r="N10" s="118"/>
    </row>
    <row r="11" spans="2:14" ht="15.75" customHeight="1">
      <c r="B11" s="418" t="s">
        <v>243</v>
      </c>
      <c r="C11" s="419">
        <v>3</v>
      </c>
      <c r="D11" s="420">
        <v>45977</v>
      </c>
      <c r="E11" s="419">
        <v>3</v>
      </c>
      <c r="F11" s="421">
        <v>0</v>
      </c>
      <c r="G11" s="412"/>
      <c r="H11" s="423">
        <v>4</v>
      </c>
      <c r="I11" s="424" t="s">
        <v>246</v>
      </c>
      <c r="J11" s="424" t="s">
        <v>124</v>
      </c>
      <c r="K11" s="423">
        <f t="shared" si="0"/>
        <v>26051</v>
      </c>
      <c r="L11" s="423">
        <v>0</v>
      </c>
      <c r="M11" s="429">
        <f t="shared" si="1"/>
        <v>26051</v>
      </c>
      <c r="N11" s="118"/>
    </row>
    <row r="12" spans="2:14" ht="15.75" customHeight="1">
      <c r="B12" s="418" t="s">
        <v>243</v>
      </c>
      <c r="C12" s="419">
        <v>1</v>
      </c>
      <c r="D12" s="420">
        <v>46132</v>
      </c>
      <c r="E12" s="419">
        <v>1</v>
      </c>
      <c r="F12" s="421">
        <v>0</v>
      </c>
      <c r="G12" s="412"/>
      <c r="H12" s="423">
        <v>6</v>
      </c>
      <c r="I12" s="424" t="s">
        <v>247</v>
      </c>
      <c r="J12" s="424" t="s">
        <v>31</v>
      </c>
      <c r="K12" s="423">
        <f t="shared" si="0"/>
        <v>3724</v>
      </c>
      <c r="L12" s="423">
        <v>0</v>
      </c>
      <c r="M12" s="429">
        <f t="shared" si="1"/>
        <v>3724</v>
      </c>
      <c r="N12" s="118"/>
    </row>
    <row r="13" spans="2:14" ht="15.75" customHeight="1">
      <c r="B13" s="418" t="s">
        <v>243</v>
      </c>
      <c r="C13" s="419">
        <v>783</v>
      </c>
      <c r="D13" s="420">
        <v>46425</v>
      </c>
      <c r="E13" s="419">
        <v>0</v>
      </c>
      <c r="F13" s="421">
        <v>783</v>
      </c>
      <c r="G13" s="412"/>
      <c r="H13" s="423">
        <v>4</v>
      </c>
      <c r="I13" s="424" t="s">
        <v>250</v>
      </c>
      <c r="J13" s="424" t="s">
        <v>251</v>
      </c>
      <c r="K13" s="423">
        <f t="shared" si="0"/>
        <v>47814</v>
      </c>
      <c r="L13" s="423">
        <v>0</v>
      </c>
      <c r="M13" s="429">
        <f t="shared" si="1"/>
        <v>47814</v>
      </c>
      <c r="N13" s="118"/>
    </row>
    <row r="14" spans="2:14" ht="15.75" customHeight="1">
      <c r="B14" s="418" t="s">
        <v>243</v>
      </c>
      <c r="C14" s="419">
        <v>24</v>
      </c>
      <c r="D14" s="420">
        <v>46456</v>
      </c>
      <c r="E14" s="419">
        <v>0</v>
      </c>
      <c r="F14" s="421">
        <v>24</v>
      </c>
      <c r="G14" s="412"/>
      <c r="H14" s="423">
        <v>4</v>
      </c>
      <c r="I14" s="424" t="s">
        <v>253</v>
      </c>
      <c r="J14" s="424" t="s">
        <v>33</v>
      </c>
      <c r="K14" s="423">
        <f t="shared" si="0"/>
        <v>79347</v>
      </c>
      <c r="L14" s="423">
        <v>0</v>
      </c>
      <c r="M14" s="429">
        <f t="shared" si="1"/>
        <v>79347</v>
      </c>
      <c r="N14" s="118"/>
    </row>
    <row r="15" spans="2:14" ht="15.75" customHeight="1">
      <c r="B15" s="418" t="s">
        <v>242</v>
      </c>
      <c r="C15" s="419">
        <v>2</v>
      </c>
      <c r="D15" s="420">
        <v>46236</v>
      </c>
      <c r="E15" s="419">
        <v>2</v>
      </c>
      <c r="F15" s="421">
        <v>0</v>
      </c>
      <c r="G15" s="412"/>
      <c r="H15" s="423">
        <v>4</v>
      </c>
      <c r="I15" s="424" t="s">
        <v>254</v>
      </c>
      <c r="J15" s="424" t="s">
        <v>34</v>
      </c>
      <c r="K15" s="423">
        <f t="shared" si="0"/>
        <v>117894</v>
      </c>
      <c r="L15" s="423">
        <v>0</v>
      </c>
      <c r="M15" s="429">
        <f t="shared" si="1"/>
        <v>117894</v>
      </c>
      <c r="N15" s="118"/>
    </row>
    <row r="16" spans="2:14" ht="15.75" customHeight="1">
      <c r="B16" s="418" t="s">
        <v>242</v>
      </c>
      <c r="C16" s="419">
        <v>1</v>
      </c>
      <c r="D16" s="420">
        <v>46237</v>
      </c>
      <c r="E16" s="419">
        <v>1</v>
      </c>
      <c r="F16" s="421">
        <v>0</v>
      </c>
      <c r="G16" s="412"/>
      <c r="H16" s="423">
        <v>4</v>
      </c>
      <c r="I16" s="424" t="s">
        <v>255</v>
      </c>
      <c r="J16" s="424" t="s">
        <v>256</v>
      </c>
      <c r="K16" s="423">
        <f t="shared" si="0"/>
        <v>17169</v>
      </c>
      <c r="L16" s="423">
        <v>0</v>
      </c>
      <c r="M16" s="423">
        <f t="shared" si="1"/>
        <v>17169</v>
      </c>
      <c r="N16" s="118"/>
    </row>
    <row r="17" spans="2:14" ht="15.75" customHeight="1">
      <c r="B17" s="418" t="s">
        <v>242</v>
      </c>
      <c r="C17" s="419">
        <v>3</v>
      </c>
      <c r="D17" s="420">
        <v>46241</v>
      </c>
      <c r="E17" s="419">
        <v>3</v>
      </c>
      <c r="F17" s="421">
        <v>0</v>
      </c>
      <c r="G17" s="412"/>
      <c r="H17" s="423">
        <v>24</v>
      </c>
      <c r="I17" s="424" t="s">
        <v>234</v>
      </c>
      <c r="J17" s="424" t="s">
        <v>133</v>
      </c>
      <c r="K17" s="423">
        <f t="shared" si="0"/>
        <v>2985</v>
      </c>
      <c r="L17" s="423">
        <v>0</v>
      </c>
      <c r="M17" s="423">
        <f t="shared" si="1"/>
        <v>2985</v>
      </c>
      <c r="N17" s="118"/>
    </row>
    <row r="18" spans="2:14" ht="15.75" customHeight="1">
      <c r="B18" s="418" t="s">
        <v>242</v>
      </c>
      <c r="C18" s="419">
        <v>4</v>
      </c>
      <c r="D18" s="420">
        <v>46302</v>
      </c>
      <c r="E18" s="419">
        <v>4</v>
      </c>
      <c r="F18" s="421">
        <v>0</v>
      </c>
      <c r="G18" s="412"/>
      <c r="H18" s="423">
        <v>24</v>
      </c>
      <c r="I18" s="424" t="s">
        <v>243</v>
      </c>
      <c r="J18" s="424" t="s">
        <v>134</v>
      </c>
      <c r="K18" s="423">
        <f t="shared" si="0"/>
        <v>807</v>
      </c>
      <c r="L18" s="423">
        <v>0</v>
      </c>
      <c r="M18" s="423">
        <f t="shared" si="1"/>
        <v>807</v>
      </c>
      <c r="N18" s="118"/>
    </row>
    <row r="19" spans="2:14" ht="15.75" customHeight="1">
      <c r="B19" s="418" t="s">
        <v>242</v>
      </c>
      <c r="C19" s="419">
        <v>4</v>
      </c>
      <c r="D19" s="420">
        <v>46303</v>
      </c>
      <c r="E19" s="419">
        <v>4</v>
      </c>
      <c r="F19" s="421">
        <v>0</v>
      </c>
      <c r="G19" s="412"/>
      <c r="H19" s="423">
        <v>24</v>
      </c>
      <c r="I19" s="424" t="s">
        <v>257</v>
      </c>
      <c r="J19" s="424" t="s">
        <v>258</v>
      </c>
      <c r="K19" s="423">
        <f t="shared" si="0"/>
        <v>13163</v>
      </c>
      <c r="L19" s="423">
        <v>0</v>
      </c>
      <c r="M19" s="423">
        <f t="shared" si="1"/>
        <v>13163</v>
      </c>
      <c r="N19" s="118"/>
    </row>
    <row r="20" spans="2:14" ht="15.75" customHeight="1">
      <c r="B20" s="418" t="s">
        <v>242</v>
      </c>
      <c r="C20" s="419">
        <v>4</v>
      </c>
      <c r="D20" s="420">
        <v>46305</v>
      </c>
      <c r="E20" s="419">
        <v>4</v>
      </c>
      <c r="F20" s="421">
        <v>0</v>
      </c>
      <c r="G20" s="412"/>
      <c r="H20" s="423">
        <v>24</v>
      </c>
      <c r="I20" s="424" t="s">
        <v>259</v>
      </c>
      <c r="J20" s="424" t="s">
        <v>260</v>
      </c>
      <c r="K20" s="423">
        <f t="shared" si="0"/>
        <v>6231</v>
      </c>
      <c r="L20" s="423">
        <v>483</v>
      </c>
      <c r="M20" s="423">
        <f t="shared" si="1"/>
        <v>5748</v>
      </c>
      <c r="N20" s="118"/>
    </row>
    <row r="21" spans="2:14" ht="15.75" customHeight="1">
      <c r="B21" s="418" t="s">
        <v>242</v>
      </c>
      <c r="C21" s="419">
        <v>4</v>
      </c>
      <c r="D21" s="420">
        <v>46323</v>
      </c>
      <c r="E21" s="419">
        <v>4</v>
      </c>
      <c r="F21" s="421">
        <v>0</v>
      </c>
      <c r="G21" s="412"/>
      <c r="H21" s="423">
        <v>24</v>
      </c>
      <c r="I21" s="424" t="s">
        <v>262</v>
      </c>
      <c r="J21" s="424" t="s">
        <v>263</v>
      </c>
      <c r="K21" s="423">
        <f t="shared" si="0"/>
        <v>6140</v>
      </c>
      <c r="L21" s="423">
        <v>0</v>
      </c>
      <c r="M21" s="423">
        <f t="shared" si="1"/>
        <v>6140</v>
      </c>
      <c r="N21" s="118"/>
    </row>
    <row r="22" spans="2:14" ht="15.75" customHeight="1">
      <c r="B22" s="418" t="s">
        <v>242</v>
      </c>
      <c r="C22" s="419">
        <v>4</v>
      </c>
      <c r="D22" s="420">
        <v>46351</v>
      </c>
      <c r="E22" s="419">
        <v>4</v>
      </c>
      <c r="F22" s="421">
        <v>0</v>
      </c>
      <c r="G22" s="412"/>
      <c r="H22" s="423">
        <v>24</v>
      </c>
      <c r="I22" s="424" t="s">
        <v>264</v>
      </c>
      <c r="J22" s="424" t="s">
        <v>265</v>
      </c>
      <c r="K22" s="423">
        <f t="shared" si="0"/>
        <v>13059</v>
      </c>
      <c r="L22" s="423">
        <v>0</v>
      </c>
      <c r="M22" s="423">
        <f t="shared" si="1"/>
        <v>13059</v>
      </c>
      <c r="N22" s="118"/>
    </row>
    <row r="23" spans="2:14" ht="15.75" customHeight="1">
      <c r="B23" s="418" t="s">
        <v>242</v>
      </c>
      <c r="C23" s="419">
        <v>4</v>
      </c>
      <c r="D23" s="420">
        <v>46450</v>
      </c>
      <c r="E23" s="419">
        <v>4</v>
      </c>
      <c r="F23" s="421">
        <v>0</v>
      </c>
      <c r="G23" s="412"/>
      <c r="H23" s="941" t="s">
        <v>266</v>
      </c>
      <c r="I23" s="926"/>
      <c r="J23" s="870"/>
      <c r="K23" s="442">
        <f t="shared" ref="K23:M23" si="2">SUM(K7:K22)</f>
        <v>360653</v>
      </c>
      <c r="L23" s="442">
        <f t="shared" si="2"/>
        <v>2371</v>
      </c>
      <c r="M23" s="442">
        <f t="shared" si="2"/>
        <v>358282</v>
      </c>
      <c r="N23" s="118"/>
    </row>
    <row r="24" spans="2:14" ht="15.75" customHeight="1">
      <c r="B24" s="418" t="s">
        <v>242</v>
      </c>
      <c r="C24" s="419">
        <v>4</v>
      </c>
      <c r="D24" s="420">
        <v>46451</v>
      </c>
      <c r="E24" s="419">
        <v>4</v>
      </c>
      <c r="F24" s="421">
        <v>0</v>
      </c>
      <c r="G24" s="412"/>
      <c r="N24" s="118"/>
    </row>
    <row r="25" spans="2:14" ht="15.75" customHeight="1">
      <c r="B25" s="418" t="s">
        <v>242</v>
      </c>
      <c r="C25" s="419">
        <v>4</v>
      </c>
      <c r="D25" s="420">
        <v>46466</v>
      </c>
      <c r="E25" s="419">
        <v>4</v>
      </c>
      <c r="F25" s="421">
        <v>0</v>
      </c>
      <c r="G25" s="412"/>
      <c r="H25" s="422" t="s">
        <v>235</v>
      </c>
      <c r="I25" s="422" t="s">
        <v>63</v>
      </c>
      <c r="J25" s="422" t="s">
        <v>63</v>
      </c>
      <c r="K25" s="422" t="s">
        <v>267</v>
      </c>
      <c r="L25" s="422" t="s">
        <v>268</v>
      </c>
      <c r="N25" s="118"/>
    </row>
    <row r="26" spans="2:14" ht="15.75" customHeight="1">
      <c r="B26" s="418" t="s">
        <v>242</v>
      </c>
      <c r="C26" s="419">
        <v>4</v>
      </c>
      <c r="D26" s="420">
        <v>46467</v>
      </c>
      <c r="E26" s="419">
        <v>4</v>
      </c>
      <c r="F26" s="421">
        <v>0</v>
      </c>
      <c r="G26" s="412"/>
      <c r="H26" s="423">
        <v>24</v>
      </c>
      <c r="I26" s="424" t="s">
        <v>234</v>
      </c>
      <c r="J26" s="424" t="s">
        <v>133</v>
      </c>
      <c r="K26" s="447">
        <f t="shared" ref="K26:K41" si="3">SUMIF($B:$B,$I26,$F:$F)/H26</f>
        <v>124.375</v>
      </c>
      <c r="L26" s="447">
        <f t="shared" ref="L26:L41" si="4">VLOOKUP(J26,$J$7:$L$22,3,0)/H26</f>
        <v>0</v>
      </c>
    </row>
    <row r="27" spans="2:14" ht="15.75" customHeight="1">
      <c r="B27" s="418" t="s">
        <v>242</v>
      </c>
      <c r="C27" s="419">
        <v>4</v>
      </c>
      <c r="D27" s="420">
        <v>46468</v>
      </c>
      <c r="E27" s="419">
        <v>4</v>
      </c>
      <c r="F27" s="421">
        <v>0</v>
      </c>
      <c r="G27" s="412"/>
      <c r="H27" s="423">
        <v>24</v>
      </c>
      <c r="I27" s="424" t="s">
        <v>243</v>
      </c>
      <c r="J27" s="424" t="s">
        <v>134</v>
      </c>
      <c r="K27" s="447">
        <f t="shared" si="3"/>
        <v>33.625</v>
      </c>
      <c r="L27" s="447">
        <f t="shared" si="4"/>
        <v>0</v>
      </c>
    </row>
    <row r="28" spans="2:14" ht="15.75" customHeight="1">
      <c r="B28" s="418" t="s">
        <v>242</v>
      </c>
      <c r="C28" s="419">
        <v>4</v>
      </c>
      <c r="D28" s="420">
        <v>46469</v>
      </c>
      <c r="E28" s="419">
        <v>4</v>
      </c>
      <c r="F28" s="421">
        <v>0</v>
      </c>
      <c r="G28" s="412"/>
      <c r="H28" s="423">
        <v>4</v>
      </c>
      <c r="I28" s="424" t="s">
        <v>250</v>
      </c>
      <c r="J28" s="424" t="s">
        <v>251</v>
      </c>
      <c r="K28" s="447">
        <f t="shared" si="3"/>
        <v>11953.5</v>
      </c>
      <c r="L28" s="447">
        <f t="shared" si="4"/>
        <v>0</v>
      </c>
    </row>
    <row r="29" spans="2:14" ht="15.75" customHeight="1">
      <c r="B29" s="418" t="s">
        <v>242</v>
      </c>
      <c r="C29" s="419">
        <v>4</v>
      </c>
      <c r="D29" s="420">
        <v>46508</v>
      </c>
      <c r="E29" s="419">
        <v>4</v>
      </c>
      <c r="F29" s="421">
        <v>0</v>
      </c>
      <c r="G29" s="412"/>
      <c r="H29" s="423">
        <v>4</v>
      </c>
      <c r="I29" s="424" t="s">
        <v>253</v>
      </c>
      <c r="J29" s="424" t="s">
        <v>33</v>
      </c>
      <c r="K29" s="447">
        <f t="shared" si="3"/>
        <v>19836.75</v>
      </c>
      <c r="L29" s="447">
        <f t="shared" si="4"/>
        <v>0</v>
      </c>
    </row>
    <row r="30" spans="2:14" ht="15.75" customHeight="1">
      <c r="B30" s="418" t="s">
        <v>242</v>
      </c>
      <c r="C30" s="419">
        <v>4</v>
      </c>
      <c r="D30" s="420">
        <v>46509</v>
      </c>
      <c r="E30" s="419">
        <v>4</v>
      </c>
      <c r="F30" s="421">
        <v>0</v>
      </c>
      <c r="G30" s="412"/>
      <c r="H30" s="423">
        <v>4</v>
      </c>
      <c r="I30" s="424" t="s">
        <v>254</v>
      </c>
      <c r="J30" s="424" t="s">
        <v>34</v>
      </c>
      <c r="K30" s="447">
        <f t="shared" si="3"/>
        <v>29473.5</v>
      </c>
      <c r="L30" s="447">
        <f t="shared" si="4"/>
        <v>0</v>
      </c>
    </row>
    <row r="31" spans="2:14" ht="15.75" customHeight="1">
      <c r="B31" s="418" t="s">
        <v>242</v>
      </c>
      <c r="C31" s="419">
        <v>4</v>
      </c>
      <c r="D31" s="420">
        <v>46513</v>
      </c>
      <c r="E31" s="419">
        <v>4</v>
      </c>
      <c r="F31" s="421">
        <v>0</v>
      </c>
      <c r="G31" s="412"/>
      <c r="H31" s="423">
        <v>4</v>
      </c>
      <c r="I31" s="424" t="s">
        <v>246</v>
      </c>
      <c r="J31" s="424" t="s">
        <v>124</v>
      </c>
      <c r="K31" s="447">
        <f t="shared" si="3"/>
        <v>6512.75</v>
      </c>
      <c r="L31" s="447">
        <f t="shared" si="4"/>
        <v>0</v>
      </c>
    </row>
    <row r="32" spans="2:14" ht="15.75" customHeight="1">
      <c r="B32" s="418" t="s">
        <v>242</v>
      </c>
      <c r="C32" s="419">
        <v>4</v>
      </c>
      <c r="D32" s="420">
        <v>46514</v>
      </c>
      <c r="E32" s="419">
        <v>4</v>
      </c>
      <c r="F32" s="421">
        <v>0</v>
      </c>
      <c r="G32" s="412"/>
      <c r="H32" s="423">
        <v>4</v>
      </c>
      <c r="I32" s="424" t="s">
        <v>242</v>
      </c>
      <c r="J32" s="424" t="s">
        <v>119</v>
      </c>
      <c r="K32" s="447">
        <f t="shared" si="3"/>
        <v>1438.75</v>
      </c>
      <c r="L32" s="447">
        <f t="shared" si="4"/>
        <v>0</v>
      </c>
    </row>
    <row r="33" spans="2:12" ht="15.75" customHeight="1">
      <c r="B33" s="418" t="s">
        <v>242</v>
      </c>
      <c r="C33" s="419">
        <v>4</v>
      </c>
      <c r="D33" s="420">
        <v>46515</v>
      </c>
      <c r="E33" s="419">
        <v>4</v>
      </c>
      <c r="F33" s="421">
        <v>0</v>
      </c>
      <c r="G33" s="412"/>
      <c r="H33" s="423">
        <v>6</v>
      </c>
      <c r="I33" s="424" t="s">
        <v>244</v>
      </c>
      <c r="J33" s="424" t="s">
        <v>30</v>
      </c>
      <c r="K33" s="447">
        <f t="shared" si="3"/>
        <v>947.16666666666663</v>
      </c>
      <c r="L33" s="447">
        <f t="shared" si="4"/>
        <v>21.833333333333332</v>
      </c>
    </row>
    <row r="34" spans="2:12" ht="15.75" customHeight="1">
      <c r="B34" s="418" t="s">
        <v>242</v>
      </c>
      <c r="C34" s="425">
        <v>1953</v>
      </c>
      <c r="D34" s="420">
        <v>46580</v>
      </c>
      <c r="E34" s="419">
        <v>0</v>
      </c>
      <c r="F34" s="427">
        <v>1953</v>
      </c>
      <c r="G34" s="412"/>
      <c r="H34" s="423">
        <v>6</v>
      </c>
      <c r="I34" s="424" t="s">
        <v>247</v>
      </c>
      <c r="J34" s="424" t="s">
        <v>31</v>
      </c>
      <c r="K34" s="447">
        <f t="shared" si="3"/>
        <v>620.66666666666663</v>
      </c>
      <c r="L34" s="447">
        <f t="shared" si="4"/>
        <v>0</v>
      </c>
    </row>
    <row r="35" spans="2:12" ht="15.75" customHeight="1">
      <c r="B35" s="418" t="s">
        <v>242</v>
      </c>
      <c r="C35" s="425">
        <v>1790</v>
      </c>
      <c r="D35" s="420">
        <v>46581</v>
      </c>
      <c r="E35" s="419">
        <v>0</v>
      </c>
      <c r="F35" s="427">
        <v>1790</v>
      </c>
      <c r="G35" s="412"/>
      <c r="H35" s="423">
        <v>6</v>
      </c>
      <c r="I35" s="424" t="s">
        <v>240</v>
      </c>
      <c r="J35" s="424" t="s">
        <v>241</v>
      </c>
      <c r="K35" s="447">
        <f t="shared" si="3"/>
        <v>1611.6666666666667</v>
      </c>
      <c r="L35" s="447">
        <f t="shared" si="4"/>
        <v>0</v>
      </c>
    </row>
    <row r="36" spans="2:12" ht="15.75" customHeight="1">
      <c r="B36" s="418" t="s">
        <v>242</v>
      </c>
      <c r="C36" s="425">
        <v>2012</v>
      </c>
      <c r="D36" s="420">
        <v>46582</v>
      </c>
      <c r="E36" s="419">
        <v>0</v>
      </c>
      <c r="F36" s="427">
        <v>2012</v>
      </c>
      <c r="G36" s="412"/>
      <c r="H36" s="423">
        <v>6</v>
      </c>
      <c r="I36" s="424" t="s">
        <v>238</v>
      </c>
      <c r="J36" s="424" t="s">
        <v>239</v>
      </c>
      <c r="K36" s="447">
        <f t="shared" si="3"/>
        <v>860.16666666666663</v>
      </c>
      <c r="L36" s="447">
        <f t="shared" si="4"/>
        <v>292.83333333333331</v>
      </c>
    </row>
    <row r="37" spans="2:12" ht="15">
      <c r="B37" s="418" t="s">
        <v>246</v>
      </c>
      <c r="C37" s="419">
        <v>2</v>
      </c>
      <c r="D37" s="420">
        <v>46131</v>
      </c>
      <c r="E37" s="419">
        <v>2</v>
      </c>
      <c r="F37" s="421">
        <v>0</v>
      </c>
      <c r="G37" s="412"/>
      <c r="H37" s="423">
        <v>4</v>
      </c>
      <c r="I37" s="424" t="s">
        <v>255</v>
      </c>
      <c r="J37" s="424" t="s">
        <v>256</v>
      </c>
      <c r="K37" s="447">
        <f t="shared" si="3"/>
        <v>4292.25</v>
      </c>
      <c r="L37" s="447">
        <f t="shared" si="4"/>
        <v>0</v>
      </c>
    </row>
    <row r="38" spans="2:12" ht="15">
      <c r="B38" s="418" t="s">
        <v>246</v>
      </c>
      <c r="C38" s="419">
        <v>4</v>
      </c>
      <c r="D38" s="420">
        <v>46227</v>
      </c>
      <c r="E38" s="419">
        <v>4</v>
      </c>
      <c r="F38" s="421">
        <v>0</v>
      </c>
      <c r="G38" s="412"/>
      <c r="H38" s="423">
        <v>24</v>
      </c>
      <c r="I38" s="424" t="s">
        <v>257</v>
      </c>
      <c r="J38" s="424" t="s">
        <v>258</v>
      </c>
      <c r="K38" s="447">
        <f t="shared" si="3"/>
        <v>548.45833333333337</v>
      </c>
      <c r="L38" s="447">
        <f t="shared" si="4"/>
        <v>0</v>
      </c>
    </row>
    <row r="39" spans="2:12" ht="15">
      <c r="B39" s="418" t="s">
        <v>246</v>
      </c>
      <c r="C39" s="419">
        <v>3</v>
      </c>
      <c r="D39" s="420">
        <v>46228</v>
      </c>
      <c r="E39" s="419">
        <v>3</v>
      </c>
      <c r="F39" s="421">
        <v>0</v>
      </c>
      <c r="G39" s="412"/>
      <c r="H39" s="423">
        <v>24</v>
      </c>
      <c r="I39" s="424" t="s">
        <v>262</v>
      </c>
      <c r="J39" s="424" t="s">
        <v>263</v>
      </c>
      <c r="K39" s="447">
        <f t="shared" si="3"/>
        <v>255.83333333333334</v>
      </c>
      <c r="L39" s="447">
        <f t="shared" si="4"/>
        <v>0</v>
      </c>
    </row>
    <row r="40" spans="2:12" ht="15">
      <c r="B40" s="418" t="s">
        <v>246</v>
      </c>
      <c r="C40" s="419">
        <v>2</v>
      </c>
      <c r="D40" s="420">
        <v>46230</v>
      </c>
      <c r="E40" s="419">
        <v>2</v>
      </c>
      <c r="F40" s="421">
        <v>0</v>
      </c>
      <c r="G40" s="412"/>
      <c r="H40" s="423">
        <v>24</v>
      </c>
      <c r="I40" s="424" t="s">
        <v>264</v>
      </c>
      <c r="J40" s="424" t="s">
        <v>265</v>
      </c>
      <c r="K40" s="447">
        <f t="shared" si="3"/>
        <v>544.125</v>
      </c>
      <c r="L40" s="447">
        <f t="shared" si="4"/>
        <v>0</v>
      </c>
    </row>
    <row r="41" spans="2:12" ht="15">
      <c r="B41" s="418" t="s">
        <v>246</v>
      </c>
      <c r="C41" s="419">
        <v>4</v>
      </c>
      <c r="D41" s="420">
        <v>46296</v>
      </c>
      <c r="E41" s="419">
        <v>4</v>
      </c>
      <c r="F41" s="421">
        <v>0</v>
      </c>
      <c r="G41" s="412"/>
      <c r="H41" s="423">
        <v>24</v>
      </c>
      <c r="I41" s="424" t="s">
        <v>259</v>
      </c>
      <c r="J41" s="424" t="s">
        <v>260</v>
      </c>
      <c r="K41" s="447">
        <f t="shared" si="3"/>
        <v>259.625</v>
      </c>
      <c r="L41" s="447">
        <f t="shared" si="4"/>
        <v>20.125</v>
      </c>
    </row>
    <row r="42" spans="2:12" ht="15">
      <c r="B42" s="418" t="s">
        <v>246</v>
      </c>
      <c r="C42" s="419">
        <v>4</v>
      </c>
      <c r="D42" s="420">
        <v>46297</v>
      </c>
      <c r="E42" s="419">
        <v>4</v>
      </c>
      <c r="F42" s="421">
        <v>0</v>
      </c>
      <c r="G42" s="412"/>
      <c r="H42" s="941" t="s">
        <v>266</v>
      </c>
      <c r="I42" s="926"/>
      <c r="J42" s="870"/>
      <c r="K42" s="449">
        <f t="shared" ref="K42:L42" si="5">SUM(K25:K41)</f>
        <v>79313.208333333343</v>
      </c>
      <c r="L42" s="449">
        <f t="shared" si="5"/>
        <v>334.79166666666663</v>
      </c>
    </row>
    <row r="43" spans="2:12" ht="15">
      <c r="B43" s="418" t="s">
        <v>246</v>
      </c>
      <c r="C43" s="419">
        <v>4</v>
      </c>
      <c r="D43" s="420">
        <v>46298</v>
      </c>
      <c r="E43" s="419">
        <v>4</v>
      </c>
      <c r="F43" s="421">
        <v>0</v>
      </c>
      <c r="G43" s="412"/>
    </row>
    <row r="44" spans="2:12" ht="15">
      <c r="B44" s="418" t="s">
        <v>246</v>
      </c>
      <c r="C44" s="419">
        <v>4</v>
      </c>
      <c r="D44" s="420">
        <v>46327</v>
      </c>
      <c r="E44" s="419">
        <v>4</v>
      </c>
      <c r="F44" s="421">
        <v>0</v>
      </c>
      <c r="G44" s="412"/>
    </row>
    <row r="45" spans="2:12" ht="15">
      <c r="B45" s="418" t="s">
        <v>246</v>
      </c>
      <c r="C45" s="419">
        <v>4</v>
      </c>
      <c r="D45" s="420">
        <v>46328</v>
      </c>
      <c r="E45" s="419">
        <v>4</v>
      </c>
      <c r="F45" s="421">
        <v>0</v>
      </c>
      <c r="G45" s="412"/>
    </row>
    <row r="46" spans="2:12" ht="15">
      <c r="B46" s="418" t="s">
        <v>246</v>
      </c>
      <c r="C46" s="419">
        <v>4</v>
      </c>
      <c r="D46" s="420">
        <v>46376</v>
      </c>
      <c r="E46" s="419">
        <v>4</v>
      </c>
      <c r="F46" s="421">
        <v>0</v>
      </c>
      <c r="G46" s="412"/>
    </row>
    <row r="47" spans="2:12" ht="15">
      <c r="B47" s="418" t="s">
        <v>246</v>
      </c>
      <c r="C47" s="419">
        <v>4</v>
      </c>
      <c r="D47" s="420">
        <v>46447</v>
      </c>
      <c r="E47" s="419">
        <v>4</v>
      </c>
      <c r="F47" s="421">
        <v>0</v>
      </c>
      <c r="G47" s="412"/>
    </row>
    <row r="48" spans="2:12" ht="15">
      <c r="B48" s="418" t="s">
        <v>246</v>
      </c>
      <c r="C48" s="419">
        <v>4</v>
      </c>
      <c r="D48" s="420">
        <v>46458</v>
      </c>
      <c r="E48" s="419">
        <v>0</v>
      </c>
      <c r="F48" s="421">
        <v>4</v>
      </c>
      <c r="G48" s="412"/>
    </row>
    <row r="49" spans="2:7" ht="15">
      <c r="B49" s="418" t="s">
        <v>246</v>
      </c>
      <c r="C49" s="419">
        <v>705</v>
      </c>
      <c r="D49" s="420">
        <v>46459</v>
      </c>
      <c r="E49" s="419">
        <v>2</v>
      </c>
      <c r="F49" s="421">
        <v>703</v>
      </c>
      <c r="G49" s="412"/>
    </row>
    <row r="50" spans="2:7" ht="15">
      <c r="B50" s="418" t="s">
        <v>246</v>
      </c>
      <c r="C50" s="425">
        <v>1664</v>
      </c>
      <c r="D50" s="420">
        <v>46461</v>
      </c>
      <c r="E50" s="419">
        <v>0</v>
      </c>
      <c r="F50" s="427">
        <v>1664</v>
      </c>
      <c r="G50" s="412"/>
    </row>
    <row r="51" spans="2:7" ht="15">
      <c r="B51" s="418" t="s">
        <v>246</v>
      </c>
      <c r="C51" s="419">
        <v>240</v>
      </c>
      <c r="D51" s="420">
        <v>46462</v>
      </c>
      <c r="E51" s="419">
        <v>0</v>
      </c>
      <c r="F51" s="421">
        <v>240</v>
      </c>
      <c r="G51" s="412"/>
    </row>
    <row r="52" spans="2:7" ht="15">
      <c r="B52" s="418" t="s">
        <v>246</v>
      </c>
      <c r="C52" s="419">
        <v>360</v>
      </c>
      <c r="D52" s="420">
        <v>46463</v>
      </c>
      <c r="E52" s="419">
        <v>0</v>
      </c>
      <c r="F52" s="421">
        <v>360</v>
      </c>
      <c r="G52" s="412"/>
    </row>
    <row r="53" spans="2:7" ht="15">
      <c r="B53" s="418" t="s">
        <v>246</v>
      </c>
      <c r="C53" s="425">
        <v>1096</v>
      </c>
      <c r="D53" s="420">
        <v>46464</v>
      </c>
      <c r="E53" s="419">
        <v>0</v>
      </c>
      <c r="F53" s="427">
        <v>1096</v>
      </c>
      <c r="G53" s="412"/>
    </row>
    <row r="54" spans="2:7" ht="15">
      <c r="B54" s="418" t="s">
        <v>246</v>
      </c>
      <c r="C54" s="425">
        <v>2388</v>
      </c>
      <c r="D54" s="420">
        <v>46497</v>
      </c>
      <c r="E54" s="419">
        <v>0</v>
      </c>
      <c r="F54" s="427">
        <v>2388</v>
      </c>
      <c r="G54" s="412"/>
    </row>
    <row r="55" spans="2:7" ht="15">
      <c r="B55" s="418" t="s">
        <v>246</v>
      </c>
      <c r="C55" s="425">
        <v>2160</v>
      </c>
      <c r="D55" s="420">
        <v>46498</v>
      </c>
      <c r="E55" s="419">
        <v>0</v>
      </c>
      <c r="F55" s="427">
        <v>2160</v>
      </c>
      <c r="G55" s="412"/>
    </row>
    <row r="56" spans="2:7" ht="15">
      <c r="B56" s="418" t="s">
        <v>246</v>
      </c>
      <c r="C56" s="419">
        <v>720</v>
      </c>
      <c r="D56" s="420">
        <v>46499</v>
      </c>
      <c r="E56" s="419">
        <v>0</v>
      </c>
      <c r="F56" s="421">
        <v>720</v>
      </c>
      <c r="G56" s="412"/>
    </row>
    <row r="57" spans="2:7" ht="15">
      <c r="B57" s="418" t="s">
        <v>246</v>
      </c>
      <c r="C57" s="425">
        <v>2044</v>
      </c>
      <c r="D57" s="420">
        <v>46576</v>
      </c>
      <c r="E57" s="419">
        <v>0</v>
      </c>
      <c r="F57" s="427">
        <v>2044</v>
      </c>
      <c r="G57" s="412"/>
    </row>
    <row r="58" spans="2:7" ht="15">
      <c r="B58" s="418" t="s">
        <v>246</v>
      </c>
      <c r="C58" s="425">
        <v>1888</v>
      </c>
      <c r="D58" s="420">
        <v>46577</v>
      </c>
      <c r="E58" s="419">
        <v>0</v>
      </c>
      <c r="F58" s="427">
        <v>1888</v>
      </c>
      <c r="G58" s="412"/>
    </row>
    <row r="59" spans="2:7" ht="15">
      <c r="B59" s="418" t="s">
        <v>246</v>
      </c>
      <c r="C59" s="425">
        <v>2024</v>
      </c>
      <c r="D59" s="420">
        <v>46578</v>
      </c>
      <c r="E59" s="419">
        <v>0</v>
      </c>
      <c r="F59" s="427">
        <v>2024</v>
      </c>
      <c r="G59" s="412"/>
    </row>
    <row r="60" spans="2:7" ht="15">
      <c r="B60" s="418" t="s">
        <v>246</v>
      </c>
      <c r="C60" s="425">
        <v>1520</v>
      </c>
      <c r="D60" s="420">
        <v>46579</v>
      </c>
      <c r="E60" s="419">
        <v>0</v>
      </c>
      <c r="F60" s="427">
        <v>1520</v>
      </c>
      <c r="G60" s="412"/>
    </row>
    <row r="61" spans="2:7" ht="15">
      <c r="B61" s="418" t="s">
        <v>246</v>
      </c>
      <c r="C61" s="419">
        <v>176</v>
      </c>
      <c r="D61" s="420">
        <v>46590</v>
      </c>
      <c r="E61" s="419">
        <v>0</v>
      </c>
      <c r="F61" s="421">
        <v>176</v>
      </c>
      <c r="G61" s="412"/>
    </row>
    <row r="62" spans="2:7" ht="15">
      <c r="B62" s="418" t="s">
        <v>246</v>
      </c>
      <c r="C62" s="425">
        <v>1900</v>
      </c>
      <c r="D62" s="420">
        <v>46594</v>
      </c>
      <c r="E62" s="419">
        <v>0</v>
      </c>
      <c r="F62" s="427">
        <v>1900</v>
      </c>
      <c r="G62" s="412"/>
    </row>
    <row r="63" spans="2:7" ht="15">
      <c r="B63" s="418" t="s">
        <v>246</v>
      </c>
      <c r="C63" s="425">
        <v>2324</v>
      </c>
      <c r="D63" s="420">
        <v>46595</v>
      </c>
      <c r="E63" s="419">
        <v>0</v>
      </c>
      <c r="F63" s="427">
        <v>2324</v>
      </c>
      <c r="G63" s="412"/>
    </row>
    <row r="64" spans="2:7" ht="15">
      <c r="B64" s="418" t="s">
        <v>246</v>
      </c>
      <c r="C64" s="425">
        <v>1256</v>
      </c>
      <c r="D64" s="420">
        <v>46610</v>
      </c>
      <c r="E64" s="419">
        <v>0</v>
      </c>
      <c r="F64" s="427">
        <v>1256</v>
      </c>
      <c r="G64" s="412"/>
    </row>
    <row r="65" spans="2:7" ht="15">
      <c r="B65" s="418" t="s">
        <v>246</v>
      </c>
      <c r="C65" s="425">
        <v>2144</v>
      </c>
      <c r="D65" s="420">
        <v>46615</v>
      </c>
      <c r="E65" s="419">
        <v>0</v>
      </c>
      <c r="F65" s="427">
        <v>2144</v>
      </c>
      <c r="G65" s="412"/>
    </row>
    <row r="66" spans="2:7" ht="15">
      <c r="B66" s="418" t="s">
        <v>246</v>
      </c>
      <c r="C66" s="425">
        <v>1440</v>
      </c>
      <c r="D66" s="420">
        <v>46626</v>
      </c>
      <c r="E66" s="419">
        <v>0</v>
      </c>
      <c r="F66" s="427">
        <v>1440</v>
      </c>
      <c r="G66" s="412"/>
    </row>
    <row r="67" spans="2:7" ht="15">
      <c r="B67" s="418" t="s">
        <v>240</v>
      </c>
      <c r="C67" s="419">
        <v>105</v>
      </c>
      <c r="D67" s="420">
        <v>46447</v>
      </c>
      <c r="E67" s="419">
        <v>2</v>
      </c>
      <c r="F67" s="421">
        <v>103</v>
      </c>
      <c r="G67" s="412"/>
    </row>
    <row r="68" spans="2:7" ht="15">
      <c r="B68" s="418" t="s">
        <v>240</v>
      </c>
      <c r="C68" s="425">
        <v>1949</v>
      </c>
      <c r="D68" s="420">
        <v>46482</v>
      </c>
      <c r="E68" s="419">
        <v>1</v>
      </c>
      <c r="F68" s="427">
        <v>1948</v>
      </c>
      <c r="G68" s="412"/>
    </row>
    <row r="69" spans="2:7" ht="15">
      <c r="B69" s="418" t="s">
        <v>240</v>
      </c>
      <c r="C69" s="425">
        <v>1680</v>
      </c>
      <c r="D69" s="420">
        <v>46501</v>
      </c>
      <c r="E69" s="419">
        <v>0</v>
      </c>
      <c r="F69" s="427">
        <v>1680</v>
      </c>
      <c r="G69" s="412"/>
    </row>
    <row r="70" spans="2:7" ht="15">
      <c r="B70" s="418" t="s">
        <v>240</v>
      </c>
      <c r="C70" s="425">
        <v>2160</v>
      </c>
      <c r="D70" s="420">
        <v>46532</v>
      </c>
      <c r="E70" s="419">
        <v>0</v>
      </c>
      <c r="F70" s="427">
        <v>2160</v>
      </c>
      <c r="G70" s="412"/>
    </row>
    <row r="71" spans="2:7" ht="15">
      <c r="B71" s="418" t="s">
        <v>240</v>
      </c>
      <c r="C71" s="425">
        <v>3780</v>
      </c>
      <c r="D71" s="420">
        <v>46585</v>
      </c>
      <c r="E71" s="419">
        <v>1</v>
      </c>
      <c r="F71" s="427">
        <v>3779</v>
      </c>
      <c r="G71" s="412"/>
    </row>
    <row r="72" spans="2:7" ht="15">
      <c r="B72" s="418" t="s">
        <v>244</v>
      </c>
      <c r="C72" s="419">
        <v>1</v>
      </c>
      <c r="D72" s="420">
        <v>45631</v>
      </c>
      <c r="E72" s="419">
        <v>1</v>
      </c>
      <c r="F72" s="421">
        <v>0</v>
      </c>
      <c r="G72" s="412"/>
    </row>
    <row r="73" spans="2:7" ht="15">
      <c r="B73" s="418" t="s">
        <v>244</v>
      </c>
      <c r="C73" s="419">
        <v>3</v>
      </c>
      <c r="D73" s="420">
        <v>45750</v>
      </c>
      <c r="E73" s="419">
        <v>3</v>
      </c>
      <c r="F73" s="421">
        <v>0</v>
      </c>
      <c r="G73" s="412"/>
    </row>
    <row r="74" spans="2:7" ht="15">
      <c r="B74" s="418" t="s">
        <v>244</v>
      </c>
      <c r="C74" s="419">
        <v>2</v>
      </c>
      <c r="D74" s="420">
        <v>45976</v>
      </c>
      <c r="E74" s="419">
        <v>2</v>
      </c>
      <c r="F74" s="421">
        <v>0</v>
      </c>
      <c r="G74" s="412"/>
    </row>
    <row r="75" spans="2:7" ht="15">
      <c r="B75" s="418" t="s">
        <v>244</v>
      </c>
      <c r="C75" s="419">
        <v>25</v>
      </c>
      <c r="D75" s="420">
        <v>46022</v>
      </c>
      <c r="E75" s="419">
        <v>25</v>
      </c>
      <c r="F75" s="421">
        <v>0</v>
      </c>
      <c r="G75" s="412"/>
    </row>
    <row r="76" spans="2:7" ht="15">
      <c r="B76" s="418" t="s">
        <v>244</v>
      </c>
      <c r="C76" s="419">
        <v>8</v>
      </c>
      <c r="D76" s="420">
        <v>46085</v>
      </c>
      <c r="E76" s="419">
        <v>8</v>
      </c>
      <c r="F76" s="421">
        <v>0</v>
      </c>
      <c r="G76" s="412"/>
    </row>
    <row r="77" spans="2:7" ht="15">
      <c r="B77" s="418" t="s">
        <v>244</v>
      </c>
      <c r="C77" s="419">
        <v>132</v>
      </c>
      <c r="D77" s="420">
        <v>46143</v>
      </c>
      <c r="E77" s="419">
        <v>1</v>
      </c>
      <c r="F77" s="421">
        <v>131</v>
      </c>
      <c r="G77" s="412"/>
    </row>
    <row r="78" spans="2:7" ht="15">
      <c r="B78" s="418" t="s">
        <v>244</v>
      </c>
      <c r="C78" s="419">
        <v>26</v>
      </c>
      <c r="D78" s="420">
        <v>46486</v>
      </c>
      <c r="E78" s="419">
        <v>8</v>
      </c>
      <c r="F78" s="421">
        <v>18</v>
      </c>
      <c r="G78" s="412"/>
    </row>
    <row r="79" spans="2:7" ht="15">
      <c r="B79" s="418" t="s">
        <v>244</v>
      </c>
      <c r="C79" s="419">
        <v>168</v>
      </c>
      <c r="D79" s="420">
        <v>46517</v>
      </c>
      <c r="E79" s="419">
        <v>4</v>
      </c>
      <c r="F79" s="421">
        <v>164</v>
      </c>
      <c r="G79" s="412"/>
    </row>
    <row r="80" spans="2:7" ht="15">
      <c r="B80" s="418" t="s">
        <v>244</v>
      </c>
      <c r="C80" s="419">
        <v>2</v>
      </c>
      <c r="D80" s="420">
        <v>46536</v>
      </c>
      <c r="E80" s="419">
        <v>2</v>
      </c>
      <c r="F80" s="421">
        <v>0</v>
      </c>
      <c r="G80" s="412"/>
    </row>
    <row r="81" spans="2:7" ht="15">
      <c r="B81" s="418" t="s">
        <v>244</v>
      </c>
      <c r="C81" s="425">
        <v>5370</v>
      </c>
      <c r="D81" s="420">
        <v>46605</v>
      </c>
      <c r="E81" s="419">
        <v>0</v>
      </c>
      <c r="F81" s="427">
        <v>5370</v>
      </c>
      <c r="G81" s="412"/>
    </row>
    <row r="82" spans="2:7" ht="15">
      <c r="B82" s="418" t="s">
        <v>247</v>
      </c>
      <c r="C82" s="419">
        <v>3</v>
      </c>
      <c r="D82" s="420">
        <v>45751</v>
      </c>
      <c r="E82" s="419">
        <v>3</v>
      </c>
      <c r="F82" s="421">
        <v>0</v>
      </c>
      <c r="G82" s="412"/>
    </row>
    <row r="83" spans="2:7" ht="15">
      <c r="B83" s="418" t="s">
        <v>247</v>
      </c>
      <c r="C83" s="419">
        <v>1</v>
      </c>
      <c r="D83" s="420">
        <v>45889</v>
      </c>
      <c r="E83" s="419">
        <v>1</v>
      </c>
      <c r="F83" s="421">
        <v>0</v>
      </c>
      <c r="G83" s="412"/>
    </row>
    <row r="84" spans="2:7" ht="15">
      <c r="B84" s="418" t="s">
        <v>247</v>
      </c>
      <c r="C84" s="419">
        <v>16</v>
      </c>
      <c r="D84" s="420">
        <v>45977</v>
      </c>
      <c r="E84" s="419">
        <v>16</v>
      </c>
      <c r="F84" s="421">
        <v>0</v>
      </c>
      <c r="G84" s="412"/>
    </row>
    <row r="85" spans="2:7" ht="15">
      <c r="B85" s="418" t="s">
        <v>247</v>
      </c>
      <c r="C85" s="419">
        <v>1</v>
      </c>
      <c r="D85" s="420">
        <v>46221</v>
      </c>
      <c r="E85" s="419">
        <v>1</v>
      </c>
      <c r="F85" s="421">
        <v>0</v>
      </c>
      <c r="G85" s="412"/>
    </row>
    <row r="86" spans="2:7" ht="15">
      <c r="B86" s="418" t="s">
        <v>247</v>
      </c>
      <c r="C86" s="419">
        <v>1</v>
      </c>
      <c r="D86" s="420">
        <v>46320</v>
      </c>
      <c r="E86" s="419">
        <v>1</v>
      </c>
      <c r="F86" s="421">
        <v>0</v>
      </c>
      <c r="G86" s="412"/>
    </row>
    <row r="87" spans="2:7" ht="15">
      <c r="B87" s="418" t="s">
        <v>247</v>
      </c>
      <c r="C87" s="419">
        <v>4</v>
      </c>
      <c r="D87" s="420">
        <v>46355</v>
      </c>
      <c r="E87" s="419">
        <v>4</v>
      </c>
      <c r="F87" s="421">
        <v>0</v>
      </c>
      <c r="G87" s="412"/>
    </row>
    <row r="88" spans="2:7" ht="15">
      <c r="B88" s="418" t="s">
        <v>247</v>
      </c>
      <c r="C88" s="419">
        <v>4</v>
      </c>
      <c r="D88" s="420">
        <v>46436</v>
      </c>
      <c r="E88" s="419">
        <v>4</v>
      </c>
      <c r="F88" s="421">
        <v>0</v>
      </c>
      <c r="G88" s="412"/>
    </row>
    <row r="89" spans="2:7" ht="15">
      <c r="B89" s="418" t="s">
        <v>247</v>
      </c>
      <c r="C89" s="425">
        <v>2914</v>
      </c>
      <c r="D89" s="420">
        <v>46605</v>
      </c>
      <c r="E89" s="419">
        <v>0</v>
      </c>
      <c r="F89" s="427">
        <v>2914</v>
      </c>
      <c r="G89" s="412"/>
    </row>
    <row r="90" spans="2:7" ht="15">
      <c r="B90" s="418" t="s">
        <v>247</v>
      </c>
      <c r="C90" s="419">
        <v>810</v>
      </c>
      <c r="D90" s="420">
        <v>46648</v>
      </c>
      <c r="E90" s="419">
        <v>0</v>
      </c>
      <c r="F90" s="421">
        <v>810</v>
      </c>
      <c r="G90" s="412"/>
    </row>
    <row r="91" spans="2:7" ht="15">
      <c r="B91" s="418" t="s">
        <v>238</v>
      </c>
      <c r="C91" s="419">
        <v>1</v>
      </c>
      <c r="D91" s="420">
        <v>45749</v>
      </c>
      <c r="E91" s="419">
        <v>1</v>
      </c>
      <c r="F91" s="421">
        <v>0</v>
      </c>
      <c r="G91" s="412"/>
    </row>
    <row r="92" spans="2:7" ht="15">
      <c r="B92" s="418" t="s">
        <v>238</v>
      </c>
      <c r="C92" s="425">
        <v>1768</v>
      </c>
      <c r="D92" s="420">
        <v>46103</v>
      </c>
      <c r="E92" s="419">
        <v>11</v>
      </c>
      <c r="F92" s="427">
        <v>1757</v>
      </c>
      <c r="G92" s="412"/>
    </row>
    <row r="93" spans="2:7" ht="15">
      <c r="B93" s="418" t="s">
        <v>238</v>
      </c>
      <c r="C93" s="419">
        <v>21</v>
      </c>
      <c r="D93" s="420">
        <v>46437</v>
      </c>
      <c r="E93" s="419">
        <v>0</v>
      </c>
      <c r="F93" s="421">
        <v>21</v>
      </c>
      <c r="G93" s="412"/>
    </row>
    <row r="94" spans="2:7" ht="15">
      <c r="B94" s="418" t="s">
        <v>238</v>
      </c>
      <c r="C94" s="419">
        <v>953</v>
      </c>
      <c r="D94" s="420">
        <v>46483</v>
      </c>
      <c r="E94" s="419">
        <v>0</v>
      </c>
      <c r="F94" s="421">
        <v>953</v>
      </c>
      <c r="G94" s="412"/>
    </row>
    <row r="95" spans="2:7" ht="15">
      <c r="B95" s="418" t="s">
        <v>238</v>
      </c>
      <c r="C95" s="419">
        <v>810</v>
      </c>
      <c r="D95" s="420">
        <v>46501</v>
      </c>
      <c r="E95" s="419">
        <v>0</v>
      </c>
      <c r="F95" s="421">
        <v>810</v>
      </c>
      <c r="G95" s="412"/>
    </row>
    <row r="96" spans="2:7" ht="15">
      <c r="B96" s="418" t="s">
        <v>238</v>
      </c>
      <c r="C96" s="425">
        <v>1350</v>
      </c>
      <c r="D96" s="420">
        <v>46585</v>
      </c>
      <c r="E96" s="419">
        <v>0</v>
      </c>
      <c r="F96" s="427">
        <v>1350</v>
      </c>
      <c r="G96" s="412"/>
    </row>
    <row r="97" spans="2:7" ht="15">
      <c r="B97" s="418" t="s">
        <v>238</v>
      </c>
      <c r="C97" s="419">
        <v>270</v>
      </c>
      <c r="D97" s="420">
        <v>46612</v>
      </c>
      <c r="E97" s="419">
        <v>0</v>
      </c>
      <c r="F97" s="421">
        <v>270</v>
      </c>
      <c r="G97" s="412"/>
    </row>
    <row r="98" spans="2:7" ht="15">
      <c r="B98" s="418" t="s">
        <v>255</v>
      </c>
      <c r="C98" s="419">
        <v>8</v>
      </c>
      <c r="D98" s="420">
        <v>46228</v>
      </c>
      <c r="E98" s="419">
        <v>8</v>
      </c>
      <c r="F98" s="421">
        <v>0</v>
      </c>
      <c r="G98" s="412"/>
    </row>
    <row r="99" spans="2:7" ht="15">
      <c r="B99" s="418" t="s">
        <v>255</v>
      </c>
      <c r="C99" s="419">
        <v>10</v>
      </c>
      <c r="D99" s="420">
        <v>46295</v>
      </c>
      <c r="E99" s="419">
        <v>10</v>
      </c>
      <c r="F99" s="421">
        <v>0</v>
      </c>
      <c r="G99" s="412"/>
    </row>
    <row r="100" spans="2:7" ht="15">
      <c r="B100" s="418" t="s">
        <v>255</v>
      </c>
      <c r="C100" s="419">
        <v>3</v>
      </c>
      <c r="D100" s="420">
        <v>46417</v>
      </c>
      <c r="E100" s="419">
        <v>3</v>
      </c>
      <c r="F100" s="421">
        <v>0</v>
      </c>
      <c r="G100" s="412"/>
    </row>
    <row r="101" spans="2:7" ht="15">
      <c r="B101" s="418" t="s">
        <v>255</v>
      </c>
      <c r="C101" s="419">
        <v>2</v>
      </c>
      <c r="D101" s="420">
        <v>46494</v>
      </c>
      <c r="E101" s="419">
        <v>2</v>
      </c>
      <c r="F101" s="421">
        <v>0</v>
      </c>
      <c r="G101" s="412"/>
    </row>
    <row r="102" spans="2:7" ht="15">
      <c r="B102" s="418" t="s">
        <v>255</v>
      </c>
      <c r="C102" s="419">
        <v>585</v>
      </c>
      <c r="D102" s="420">
        <v>46659</v>
      </c>
      <c r="E102" s="419">
        <v>0</v>
      </c>
      <c r="F102" s="421">
        <v>585</v>
      </c>
      <c r="G102" s="412"/>
    </row>
    <row r="103" spans="2:7" ht="15">
      <c r="B103" s="418" t="s">
        <v>255</v>
      </c>
      <c r="C103" s="425">
        <v>5760</v>
      </c>
      <c r="D103" s="420">
        <v>46680</v>
      </c>
      <c r="E103" s="419">
        <v>0</v>
      </c>
      <c r="F103" s="427">
        <v>5760</v>
      </c>
      <c r="G103" s="412"/>
    </row>
    <row r="104" spans="2:7" ht="15">
      <c r="B104" s="418" t="s">
        <v>255</v>
      </c>
      <c r="C104" s="425">
        <v>2068</v>
      </c>
      <c r="D104" s="420">
        <v>46710</v>
      </c>
      <c r="E104" s="419">
        <v>0</v>
      </c>
      <c r="F104" s="427">
        <v>2068</v>
      </c>
      <c r="G104" s="412"/>
    </row>
    <row r="105" spans="2:7" ht="15">
      <c r="B105" s="418" t="s">
        <v>255</v>
      </c>
      <c r="C105" s="425">
        <v>3764</v>
      </c>
      <c r="D105" s="420">
        <v>46754</v>
      </c>
      <c r="E105" s="419">
        <v>0</v>
      </c>
      <c r="F105" s="427">
        <v>3764</v>
      </c>
      <c r="G105" s="412"/>
    </row>
    <row r="106" spans="2:7" ht="15">
      <c r="B106" s="418" t="s">
        <v>255</v>
      </c>
      <c r="C106" s="425">
        <v>4992</v>
      </c>
      <c r="D106" s="420">
        <v>46788</v>
      </c>
      <c r="E106" s="419">
        <v>0</v>
      </c>
      <c r="F106" s="427">
        <v>4992</v>
      </c>
      <c r="G106" s="412"/>
    </row>
    <row r="107" spans="2:7" ht="15">
      <c r="B107" s="418" t="s">
        <v>264</v>
      </c>
      <c r="C107" s="419">
        <v>320</v>
      </c>
      <c r="D107" s="420">
        <v>46312</v>
      </c>
      <c r="E107" s="419">
        <v>1</v>
      </c>
      <c r="F107" s="421">
        <v>319</v>
      </c>
      <c r="G107" s="412"/>
    </row>
    <row r="108" spans="2:7" ht="15">
      <c r="B108" s="418" t="s">
        <v>264</v>
      </c>
      <c r="C108" s="425">
        <v>2452</v>
      </c>
      <c r="D108" s="420">
        <v>46349</v>
      </c>
      <c r="E108" s="419">
        <v>8</v>
      </c>
      <c r="F108" s="427">
        <v>2444</v>
      </c>
      <c r="G108" s="412"/>
    </row>
    <row r="109" spans="2:7" ht="15">
      <c r="B109" s="418" t="s">
        <v>264</v>
      </c>
      <c r="C109" s="425">
        <v>6864</v>
      </c>
      <c r="D109" s="420">
        <v>46398</v>
      </c>
      <c r="E109" s="419">
        <v>0</v>
      </c>
      <c r="F109" s="427">
        <v>6864</v>
      </c>
      <c r="G109" s="412"/>
    </row>
    <row r="110" spans="2:7" ht="15">
      <c r="B110" s="418" t="s">
        <v>264</v>
      </c>
      <c r="C110" s="425">
        <v>3432</v>
      </c>
      <c r="D110" s="420">
        <v>46444</v>
      </c>
      <c r="E110" s="419">
        <v>0</v>
      </c>
      <c r="F110" s="427">
        <v>3432</v>
      </c>
      <c r="G110" s="412"/>
    </row>
    <row r="111" spans="2:7" ht="15">
      <c r="B111" s="418" t="s">
        <v>257</v>
      </c>
      <c r="C111" s="419">
        <v>368</v>
      </c>
      <c r="D111" s="420">
        <v>46311</v>
      </c>
      <c r="E111" s="419">
        <v>1</v>
      </c>
      <c r="F111" s="421">
        <v>367</v>
      </c>
      <c r="G111" s="412"/>
    </row>
    <row r="112" spans="2:7" ht="15">
      <c r="B112" s="418" t="s">
        <v>257</v>
      </c>
      <c r="C112" s="425">
        <v>2500</v>
      </c>
      <c r="D112" s="420">
        <v>46343</v>
      </c>
      <c r="E112" s="419">
        <v>0</v>
      </c>
      <c r="F112" s="427">
        <v>2500</v>
      </c>
      <c r="G112" s="412"/>
    </row>
    <row r="113" spans="2:7" ht="15">
      <c r="B113" s="418" t="s">
        <v>257</v>
      </c>
      <c r="C113" s="425">
        <v>6864</v>
      </c>
      <c r="D113" s="420">
        <v>46386</v>
      </c>
      <c r="E113" s="419">
        <v>0</v>
      </c>
      <c r="F113" s="427">
        <v>6864</v>
      </c>
      <c r="G113" s="412"/>
    </row>
    <row r="114" spans="2:7" ht="15">
      <c r="B114" s="418" t="s">
        <v>257</v>
      </c>
      <c r="C114" s="425">
        <v>3432</v>
      </c>
      <c r="D114" s="420">
        <v>46429</v>
      </c>
      <c r="E114" s="419">
        <v>0</v>
      </c>
      <c r="F114" s="427">
        <v>3432</v>
      </c>
      <c r="G114" s="412"/>
    </row>
    <row r="115" spans="2:7" ht="15">
      <c r="B115" s="418" t="s">
        <v>259</v>
      </c>
      <c r="C115" s="419">
        <v>484</v>
      </c>
      <c r="D115" s="420">
        <v>46291</v>
      </c>
      <c r="E115" s="419">
        <v>1</v>
      </c>
      <c r="F115" s="421">
        <v>483</v>
      </c>
      <c r="G115" s="412"/>
    </row>
    <row r="116" spans="2:7" ht="15">
      <c r="B116" s="418" t="s">
        <v>259</v>
      </c>
      <c r="C116" s="425">
        <v>2320</v>
      </c>
      <c r="D116" s="420">
        <v>46337</v>
      </c>
      <c r="E116" s="419">
        <v>4</v>
      </c>
      <c r="F116" s="427">
        <v>2316</v>
      </c>
      <c r="G116" s="412"/>
    </row>
    <row r="117" spans="2:7" ht="15">
      <c r="B117" s="418" t="s">
        <v>259</v>
      </c>
      <c r="C117" s="425">
        <v>3432</v>
      </c>
      <c r="D117" s="420">
        <v>46419</v>
      </c>
      <c r="E117" s="419">
        <v>0</v>
      </c>
      <c r="F117" s="427">
        <v>3432</v>
      </c>
      <c r="G117" s="412"/>
    </row>
    <row r="118" spans="2:7" ht="15">
      <c r="B118" s="418" t="s">
        <v>262</v>
      </c>
      <c r="C118" s="425">
        <v>2836</v>
      </c>
      <c r="D118" s="420">
        <v>46314</v>
      </c>
      <c r="E118" s="419">
        <v>80</v>
      </c>
      <c r="F118" s="427">
        <v>2756</v>
      </c>
      <c r="G118" s="412"/>
    </row>
    <row r="119" spans="2:7" ht="15">
      <c r="B119" s="418" t="s">
        <v>262</v>
      </c>
      <c r="C119" s="425">
        <v>3432</v>
      </c>
      <c r="D119" s="420">
        <v>46413</v>
      </c>
      <c r="E119" s="419">
        <v>48</v>
      </c>
      <c r="F119" s="427">
        <v>3384</v>
      </c>
      <c r="G119" s="412"/>
    </row>
    <row r="120" spans="2:7" ht="15">
      <c r="B120" s="418" t="s">
        <v>278</v>
      </c>
      <c r="C120" s="419">
        <v>47</v>
      </c>
      <c r="D120" s="420">
        <v>46129</v>
      </c>
      <c r="E120" s="419">
        <v>47</v>
      </c>
      <c r="F120" s="421">
        <v>0</v>
      </c>
      <c r="G120" s="412"/>
    </row>
    <row r="121" spans="2:7" ht="15">
      <c r="B121" s="418" t="s">
        <v>278</v>
      </c>
      <c r="C121" s="425">
        <v>2761</v>
      </c>
      <c r="D121" s="420">
        <v>46213</v>
      </c>
      <c r="E121" s="419">
        <v>32</v>
      </c>
      <c r="F121" s="427">
        <v>2729</v>
      </c>
      <c r="G121" s="412"/>
    </row>
    <row r="122" spans="2:7" ht="15">
      <c r="B122" s="418" t="s">
        <v>280</v>
      </c>
      <c r="C122" s="419">
        <v>48</v>
      </c>
      <c r="D122" s="420">
        <v>46127</v>
      </c>
      <c r="E122" s="419">
        <v>48</v>
      </c>
      <c r="F122" s="421">
        <v>0</v>
      </c>
      <c r="G122" s="412"/>
    </row>
    <row r="123" spans="2:7" ht="15">
      <c r="B123" s="418" t="s">
        <v>280</v>
      </c>
      <c r="C123" s="425">
        <v>4635</v>
      </c>
      <c r="D123" s="420">
        <v>46215</v>
      </c>
      <c r="E123" s="419">
        <v>7</v>
      </c>
      <c r="F123" s="427">
        <v>4628</v>
      </c>
      <c r="G123" s="412"/>
    </row>
    <row r="124" spans="2:7" ht="15">
      <c r="B124" s="418" t="s">
        <v>253</v>
      </c>
      <c r="C124" s="419">
        <v>2</v>
      </c>
      <c r="D124" s="420">
        <v>46178</v>
      </c>
      <c r="E124" s="419">
        <v>2</v>
      </c>
      <c r="F124" s="421">
        <v>0</v>
      </c>
      <c r="G124" s="412"/>
    </row>
    <row r="125" spans="2:7" ht="15">
      <c r="B125" s="418" t="s">
        <v>253</v>
      </c>
      <c r="C125" s="419">
        <v>21</v>
      </c>
      <c r="D125" s="420">
        <v>46228</v>
      </c>
      <c r="E125" s="419">
        <v>21</v>
      </c>
      <c r="F125" s="421">
        <v>0</v>
      </c>
      <c r="G125" s="412"/>
    </row>
    <row r="126" spans="2:7" ht="15">
      <c r="B126" s="418" t="s">
        <v>253</v>
      </c>
      <c r="C126" s="419">
        <v>5</v>
      </c>
      <c r="D126" s="420">
        <v>46245</v>
      </c>
      <c r="E126" s="419">
        <v>5</v>
      </c>
      <c r="F126" s="421">
        <v>0</v>
      </c>
      <c r="G126" s="412"/>
    </row>
    <row r="127" spans="2:7" ht="15">
      <c r="B127" s="418" t="s">
        <v>253</v>
      </c>
      <c r="C127" s="419">
        <v>3</v>
      </c>
      <c r="D127" s="420">
        <v>46271</v>
      </c>
      <c r="E127" s="419">
        <v>3</v>
      </c>
      <c r="F127" s="421">
        <v>0</v>
      </c>
      <c r="G127" s="412"/>
    </row>
    <row r="128" spans="2:7" ht="15">
      <c r="B128" s="418" t="s">
        <v>253</v>
      </c>
      <c r="C128" s="419">
        <v>9</v>
      </c>
      <c r="D128" s="420">
        <v>46327</v>
      </c>
      <c r="E128" s="419">
        <v>9</v>
      </c>
      <c r="F128" s="421">
        <v>0</v>
      </c>
      <c r="G128" s="412"/>
    </row>
    <row r="129" spans="2:7" ht="15">
      <c r="B129" s="418" t="s">
        <v>253</v>
      </c>
      <c r="C129" s="419">
        <v>34</v>
      </c>
      <c r="D129" s="420">
        <v>46345</v>
      </c>
      <c r="E129" s="419">
        <v>34</v>
      </c>
      <c r="F129" s="421">
        <v>0</v>
      </c>
      <c r="G129" s="412"/>
    </row>
    <row r="130" spans="2:7" ht="15">
      <c r="B130" s="418" t="s">
        <v>253</v>
      </c>
      <c r="C130" s="419">
        <v>3</v>
      </c>
      <c r="D130" s="420">
        <v>46498</v>
      </c>
      <c r="E130" s="419">
        <v>3</v>
      </c>
      <c r="F130" s="421">
        <v>0</v>
      </c>
      <c r="G130" s="412"/>
    </row>
    <row r="131" spans="2:7" ht="15">
      <c r="B131" s="418" t="s">
        <v>253</v>
      </c>
      <c r="C131" s="419">
        <v>5</v>
      </c>
      <c r="D131" s="420">
        <v>46565</v>
      </c>
      <c r="E131" s="419">
        <v>5</v>
      </c>
      <c r="F131" s="421">
        <v>0</v>
      </c>
      <c r="G131" s="412"/>
    </row>
    <row r="132" spans="2:7" ht="15">
      <c r="B132" s="418" t="s">
        <v>253</v>
      </c>
      <c r="C132" s="419">
        <v>4</v>
      </c>
      <c r="D132" s="420">
        <v>46589</v>
      </c>
      <c r="E132" s="419">
        <v>4</v>
      </c>
      <c r="F132" s="421">
        <v>0</v>
      </c>
      <c r="G132" s="412"/>
    </row>
    <row r="133" spans="2:7" ht="15">
      <c r="B133" s="418" t="s">
        <v>253</v>
      </c>
      <c r="C133" s="419">
        <v>4</v>
      </c>
      <c r="D133" s="420">
        <v>46637</v>
      </c>
      <c r="E133" s="419">
        <v>4</v>
      </c>
      <c r="F133" s="421">
        <v>0</v>
      </c>
      <c r="G133" s="412"/>
    </row>
    <row r="134" spans="2:7" ht="15">
      <c r="B134" s="418" t="s">
        <v>253</v>
      </c>
      <c r="C134" s="419">
        <v>6</v>
      </c>
      <c r="D134" s="420">
        <v>46646</v>
      </c>
      <c r="E134" s="419">
        <v>6</v>
      </c>
      <c r="F134" s="421">
        <v>0</v>
      </c>
      <c r="G134" s="412"/>
    </row>
    <row r="135" spans="2:7" ht="15">
      <c r="B135" s="418" t="s">
        <v>253</v>
      </c>
      <c r="C135" s="425">
        <v>19265</v>
      </c>
      <c r="D135" s="420">
        <v>46658</v>
      </c>
      <c r="E135" s="419">
        <v>12</v>
      </c>
      <c r="F135" s="427">
        <v>19253</v>
      </c>
      <c r="G135" s="412"/>
    </row>
    <row r="136" spans="2:7" ht="15">
      <c r="B136" s="418" t="s">
        <v>253</v>
      </c>
      <c r="C136" s="425">
        <v>19200</v>
      </c>
      <c r="D136" s="420">
        <v>46684</v>
      </c>
      <c r="E136" s="419">
        <v>2</v>
      </c>
      <c r="F136" s="427">
        <v>19198</v>
      </c>
      <c r="G136" s="412"/>
    </row>
    <row r="137" spans="2:7" ht="15">
      <c r="B137" s="418" t="s">
        <v>253</v>
      </c>
      <c r="C137" s="419">
        <v>4</v>
      </c>
      <c r="D137" s="420">
        <v>46712</v>
      </c>
      <c r="E137" s="419">
        <v>4</v>
      </c>
      <c r="F137" s="421">
        <v>0</v>
      </c>
      <c r="G137" s="412"/>
    </row>
    <row r="138" spans="2:7" ht="15">
      <c r="B138" s="418" t="s">
        <v>253</v>
      </c>
      <c r="C138" s="425">
        <v>7944</v>
      </c>
      <c r="D138" s="420">
        <v>46756</v>
      </c>
      <c r="E138" s="419">
        <v>0</v>
      </c>
      <c r="F138" s="427">
        <v>7944</v>
      </c>
      <c r="G138" s="412"/>
    </row>
    <row r="139" spans="2:7" ht="15">
      <c r="B139" s="418" t="s">
        <v>253</v>
      </c>
      <c r="C139" s="419">
        <v>312</v>
      </c>
      <c r="D139" s="420">
        <v>46757</v>
      </c>
      <c r="E139" s="419">
        <v>0</v>
      </c>
      <c r="F139" s="421">
        <v>312</v>
      </c>
      <c r="G139" s="412"/>
    </row>
    <row r="140" spans="2:7" ht="15">
      <c r="B140" s="418" t="s">
        <v>253</v>
      </c>
      <c r="C140" s="425">
        <v>32640</v>
      </c>
      <c r="D140" s="420">
        <v>46791</v>
      </c>
      <c r="E140" s="419">
        <v>0</v>
      </c>
      <c r="F140" s="427">
        <v>32640</v>
      </c>
      <c r="G140" s="412"/>
    </row>
    <row r="141" spans="2:7" ht="15">
      <c r="B141" s="418" t="s">
        <v>254</v>
      </c>
      <c r="C141" s="419">
        <v>7</v>
      </c>
      <c r="D141" s="420">
        <v>45981</v>
      </c>
      <c r="E141" s="419">
        <v>7</v>
      </c>
      <c r="F141" s="421">
        <v>0</v>
      </c>
      <c r="G141" s="412"/>
    </row>
    <row r="142" spans="2:7" ht="15">
      <c r="B142" s="418" t="s">
        <v>254</v>
      </c>
      <c r="C142" s="419">
        <v>7</v>
      </c>
      <c r="D142" s="420">
        <v>46226</v>
      </c>
      <c r="E142" s="419">
        <v>7</v>
      </c>
      <c r="F142" s="421">
        <v>0</v>
      </c>
      <c r="G142" s="412"/>
    </row>
    <row r="143" spans="2:7" ht="15">
      <c r="B143" s="418" t="s">
        <v>254</v>
      </c>
      <c r="C143" s="419">
        <v>15</v>
      </c>
      <c r="D143" s="420">
        <v>46240</v>
      </c>
      <c r="E143" s="419">
        <v>15</v>
      </c>
      <c r="F143" s="421">
        <v>0</v>
      </c>
      <c r="G143" s="412"/>
    </row>
    <row r="144" spans="2:7" ht="15">
      <c r="B144" s="418" t="s">
        <v>254</v>
      </c>
      <c r="C144" s="419">
        <v>18</v>
      </c>
      <c r="D144" s="420">
        <v>46274</v>
      </c>
      <c r="E144" s="419">
        <v>18</v>
      </c>
      <c r="F144" s="421">
        <v>0</v>
      </c>
      <c r="G144" s="412"/>
    </row>
    <row r="145" spans="2:7" ht="15">
      <c r="B145" s="418" t="s">
        <v>254</v>
      </c>
      <c r="C145" s="419">
        <v>23</v>
      </c>
      <c r="D145" s="420">
        <v>46300</v>
      </c>
      <c r="E145" s="419">
        <v>23</v>
      </c>
      <c r="F145" s="421">
        <v>0</v>
      </c>
      <c r="G145" s="412"/>
    </row>
    <row r="146" spans="2:7" ht="15">
      <c r="B146" s="418" t="s">
        <v>254</v>
      </c>
      <c r="C146" s="419">
        <v>5</v>
      </c>
      <c r="D146" s="420">
        <v>46328</v>
      </c>
      <c r="E146" s="419">
        <v>5</v>
      </c>
      <c r="F146" s="421">
        <v>0</v>
      </c>
      <c r="G146" s="412"/>
    </row>
    <row r="147" spans="2:7" ht="15">
      <c r="B147" s="418" t="s">
        <v>254</v>
      </c>
      <c r="C147" s="419">
        <v>2</v>
      </c>
      <c r="D147" s="420">
        <v>46344</v>
      </c>
      <c r="E147" s="419">
        <v>2</v>
      </c>
      <c r="F147" s="421">
        <v>0</v>
      </c>
      <c r="G147" s="412"/>
    </row>
    <row r="148" spans="2:7" ht="15">
      <c r="B148" s="418" t="s">
        <v>254</v>
      </c>
      <c r="C148" s="419">
        <v>4</v>
      </c>
      <c r="D148" s="420">
        <v>46565</v>
      </c>
      <c r="E148" s="419">
        <v>4</v>
      </c>
      <c r="F148" s="421">
        <v>0</v>
      </c>
      <c r="G148" s="412"/>
    </row>
    <row r="149" spans="2:7" ht="15">
      <c r="B149" s="418" t="s">
        <v>254</v>
      </c>
      <c r="C149" s="419">
        <v>4</v>
      </c>
      <c r="D149" s="420">
        <v>46588</v>
      </c>
      <c r="E149" s="419">
        <v>4</v>
      </c>
      <c r="F149" s="421">
        <v>0</v>
      </c>
      <c r="G149" s="412"/>
    </row>
    <row r="150" spans="2:7" ht="15">
      <c r="B150" s="418" t="s">
        <v>254</v>
      </c>
      <c r="C150" s="419">
        <v>4</v>
      </c>
      <c r="D150" s="420">
        <v>46633</v>
      </c>
      <c r="E150" s="419">
        <v>4</v>
      </c>
      <c r="F150" s="421">
        <v>0</v>
      </c>
      <c r="G150" s="412"/>
    </row>
    <row r="151" spans="2:7" ht="15">
      <c r="B151" s="418" t="s">
        <v>254</v>
      </c>
      <c r="C151" s="425">
        <v>14587</v>
      </c>
      <c r="D151" s="420">
        <v>46659</v>
      </c>
      <c r="E151" s="419">
        <v>2</v>
      </c>
      <c r="F151" s="427">
        <v>14585</v>
      </c>
      <c r="G151" s="412"/>
    </row>
    <row r="152" spans="2:7" ht="15">
      <c r="B152" s="418" t="s">
        <v>254</v>
      </c>
      <c r="C152" s="425">
        <v>8008</v>
      </c>
      <c r="D152" s="420">
        <v>46680</v>
      </c>
      <c r="E152" s="419">
        <v>0</v>
      </c>
      <c r="F152" s="427">
        <v>8008</v>
      </c>
      <c r="G152" s="412"/>
    </row>
    <row r="153" spans="2:7" ht="15">
      <c r="B153" s="418" t="s">
        <v>254</v>
      </c>
      <c r="C153" s="425">
        <v>12684</v>
      </c>
      <c r="D153" s="420">
        <v>46681</v>
      </c>
      <c r="E153" s="419">
        <v>0</v>
      </c>
      <c r="F153" s="427">
        <v>12684</v>
      </c>
      <c r="G153" s="412"/>
    </row>
    <row r="154" spans="2:7" ht="15">
      <c r="B154" s="418" t="s">
        <v>254</v>
      </c>
      <c r="C154" s="425">
        <v>29828</v>
      </c>
      <c r="D154" s="420">
        <v>46710</v>
      </c>
      <c r="E154" s="419">
        <v>3</v>
      </c>
      <c r="F154" s="427">
        <v>29825</v>
      </c>
      <c r="G154" s="412"/>
    </row>
    <row r="155" spans="2:7" ht="15">
      <c r="B155" s="418" t="s">
        <v>254</v>
      </c>
      <c r="C155" s="425">
        <v>2872</v>
      </c>
      <c r="D155" s="420">
        <v>46711</v>
      </c>
      <c r="E155" s="419">
        <v>0</v>
      </c>
      <c r="F155" s="427">
        <v>2872</v>
      </c>
      <c r="G155" s="412"/>
    </row>
    <row r="156" spans="2:7" ht="15">
      <c r="B156" s="418" t="s">
        <v>254</v>
      </c>
      <c r="C156" s="425">
        <v>12956</v>
      </c>
      <c r="D156" s="420">
        <v>46754</v>
      </c>
      <c r="E156" s="419">
        <v>0</v>
      </c>
      <c r="F156" s="427">
        <v>12956</v>
      </c>
      <c r="G156" s="412"/>
    </row>
    <row r="157" spans="2:7" ht="15">
      <c r="B157" s="418" t="s">
        <v>254</v>
      </c>
      <c r="C157" s="425">
        <v>23140</v>
      </c>
      <c r="D157" s="420">
        <v>46789</v>
      </c>
      <c r="E157" s="419">
        <v>0</v>
      </c>
      <c r="F157" s="427">
        <v>23140</v>
      </c>
      <c r="G157" s="412"/>
    </row>
    <row r="158" spans="2:7" ht="15">
      <c r="B158" s="418" t="s">
        <v>254</v>
      </c>
      <c r="C158" s="425">
        <v>13824</v>
      </c>
      <c r="D158" s="420">
        <v>46827</v>
      </c>
      <c r="E158" s="419">
        <v>0</v>
      </c>
      <c r="F158" s="427">
        <v>13824</v>
      </c>
      <c r="G158" s="412"/>
    </row>
    <row r="159" spans="2:7" ht="15">
      <c r="B159" s="418" t="s">
        <v>250</v>
      </c>
      <c r="C159" s="419">
        <v>1</v>
      </c>
      <c r="D159" s="420">
        <v>45835</v>
      </c>
      <c r="E159" s="419">
        <v>1</v>
      </c>
      <c r="F159" s="421">
        <v>0</v>
      </c>
      <c r="G159" s="412"/>
    </row>
    <row r="160" spans="2:7" ht="15">
      <c r="B160" s="418" t="s">
        <v>250</v>
      </c>
      <c r="C160" s="419">
        <v>4</v>
      </c>
      <c r="D160" s="420">
        <v>46145</v>
      </c>
      <c r="E160" s="419">
        <v>4</v>
      </c>
      <c r="F160" s="421">
        <v>0</v>
      </c>
      <c r="G160" s="412"/>
    </row>
    <row r="161" spans="2:7" ht="15">
      <c r="B161" s="418" t="s">
        <v>250</v>
      </c>
      <c r="C161" s="419">
        <v>4</v>
      </c>
      <c r="D161" s="420">
        <v>46178</v>
      </c>
      <c r="E161" s="419">
        <v>4</v>
      </c>
      <c r="F161" s="421">
        <v>0</v>
      </c>
      <c r="G161" s="412"/>
    </row>
    <row r="162" spans="2:7" ht="15">
      <c r="B162" s="418" t="s">
        <v>250</v>
      </c>
      <c r="C162" s="419">
        <v>1</v>
      </c>
      <c r="D162" s="420">
        <v>46275</v>
      </c>
      <c r="E162" s="419">
        <v>1</v>
      </c>
      <c r="F162" s="421">
        <v>0</v>
      </c>
      <c r="G162" s="412"/>
    </row>
    <row r="163" spans="2:7" ht="15">
      <c r="B163" s="418" t="s">
        <v>250</v>
      </c>
      <c r="C163" s="419">
        <v>1</v>
      </c>
      <c r="D163" s="420">
        <v>46328</v>
      </c>
      <c r="E163" s="419">
        <v>1</v>
      </c>
      <c r="F163" s="421">
        <v>0</v>
      </c>
      <c r="G163" s="412"/>
    </row>
    <row r="164" spans="2:7" ht="15">
      <c r="B164" s="418" t="s">
        <v>250</v>
      </c>
      <c r="C164" s="419">
        <v>4</v>
      </c>
      <c r="D164" s="420">
        <v>46373</v>
      </c>
      <c r="E164" s="419">
        <v>4</v>
      </c>
      <c r="F164" s="421">
        <v>0</v>
      </c>
      <c r="G164" s="412"/>
    </row>
    <row r="165" spans="2:7" ht="15">
      <c r="B165" s="418" t="s">
        <v>250</v>
      </c>
      <c r="C165" s="419">
        <v>1</v>
      </c>
      <c r="D165" s="420">
        <v>46406</v>
      </c>
      <c r="E165" s="419">
        <v>1</v>
      </c>
      <c r="F165" s="421">
        <v>0</v>
      </c>
      <c r="G165" s="412"/>
    </row>
    <row r="166" spans="2:7" ht="15">
      <c r="B166" s="418" t="s">
        <v>250</v>
      </c>
      <c r="C166" s="419">
        <v>1</v>
      </c>
      <c r="D166" s="420">
        <v>46590</v>
      </c>
      <c r="E166" s="419">
        <v>1</v>
      </c>
      <c r="F166" s="421">
        <v>0</v>
      </c>
      <c r="G166" s="412"/>
    </row>
    <row r="167" spans="2:7" ht="15">
      <c r="B167" s="418" t="s">
        <v>250</v>
      </c>
      <c r="C167" s="419">
        <v>4</v>
      </c>
      <c r="D167" s="420">
        <v>46645</v>
      </c>
      <c r="E167" s="419">
        <v>4</v>
      </c>
      <c r="F167" s="421">
        <v>0</v>
      </c>
      <c r="G167" s="412"/>
    </row>
    <row r="168" spans="2:7" ht="15">
      <c r="B168" s="418" t="s">
        <v>250</v>
      </c>
      <c r="C168" s="425">
        <v>1125</v>
      </c>
      <c r="D168" s="420">
        <v>46658</v>
      </c>
      <c r="E168" s="419">
        <v>1</v>
      </c>
      <c r="F168" s="427">
        <v>1124</v>
      </c>
      <c r="G168" s="412"/>
    </row>
    <row r="169" spans="2:7" ht="15">
      <c r="B169" s="418" t="s">
        <v>250</v>
      </c>
      <c r="C169" s="425">
        <v>11666</v>
      </c>
      <c r="D169" s="420">
        <v>46685</v>
      </c>
      <c r="E169" s="419">
        <v>0</v>
      </c>
      <c r="F169" s="427">
        <v>11666</v>
      </c>
      <c r="G169" s="412"/>
    </row>
    <row r="170" spans="2:7" ht="15">
      <c r="B170" s="418" t="s">
        <v>250</v>
      </c>
      <c r="C170" s="425">
        <v>6224</v>
      </c>
      <c r="D170" s="420">
        <v>46711</v>
      </c>
      <c r="E170" s="419">
        <v>0</v>
      </c>
      <c r="F170" s="427">
        <v>6224</v>
      </c>
      <c r="G170" s="412"/>
    </row>
    <row r="171" spans="2:7" ht="15">
      <c r="B171" s="418" t="s">
        <v>250</v>
      </c>
      <c r="C171" s="425">
        <v>27264</v>
      </c>
      <c r="D171" s="420">
        <v>46755</v>
      </c>
      <c r="E171" s="419">
        <v>0</v>
      </c>
      <c r="F171" s="427">
        <v>27264</v>
      </c>
      <c r="G171" s="412"/>
    </row>
    <row r="172" spans="2:7" ht="15">
      <c r="B172" s="418" t="s">
        <v>250</v>
      </c>
      <c r="C172" s="425">
        <v>1536</v>
      </c>
      <c r="D172" s="420">
        <v>46790</v>
      </c>
      <c r="E172" s="419">
        <v>0</v>
      </c>
      <c r="F172" s="427">
        <v>1536</v>
      </c>
      <c r="G172" s="412"/>
    </row>
    <row r="173" spans="2:7" ht="15">
      <c r="B173" s="467" t="s">
        <v>266</v>
      </c>
      <c r="C173" s="468">
        <v>368765</v>
      </c>
      <c r="D173" s="469"/>
      <c r="E173" s="469">
        <v>755</v>
      </c>
      <c r="F173" s="468">
        <v>368010</v>
      </c>
      <c r="G173" s="412"/>
    </row>
    <row r="174" spans="2:7" ht="12.75">
      <c r="B174" s="412"/>
      <c r="C174" s="412"/>
      <c r="D174" s="412"/>
      <c r="E174" s="412"/>
      <c r="F174" s="412"/>
      <c r="G174" s="412"/>
    </row>
    <row r="175" spans="2:7" ht="12.75">
      <c r="B175" s="412"/>
      <c r="C175" s="412"/>
      <c r="D175" s="412"/>
      <c r="E175" s="412"/>
      <c r="F175" s="412"/>
      <c r="G175" s="412"/>
    </row>
    <row r="176" spans="2:7" ht="12.75">
      <c r="B176" s="412"/>
      <c r="C176" s="412"/>
      <c r="D176" s="412"/>
      <c r="E176" s="412"/>
      <c r="F176" s="412"/>
      <c r="G176" s="412"/>
    </row>
    <row r="177" spans="2:7" ht="12.75">
      <c r="B177" s="412"/>
      <c r="C177" s="412"/>
      <c r="D177" s="412"/>
      <c r="E177" s="412"/>
      <c r="F177" s="412"/>
      <c r="G177" s="412"/>
    </row>
    <row r="178" spans="2:7" ht="12.75">
      <c r="B178" s="412"/>
      <c r="C178" s="412"/>
      <c r="D178" s="412"/>
      <c r="E178" s="412"/>
      <c r="F178" s="412"/>
      <c r="G178" s="412"/>
    </row>
    <row r="179" spans="2:7" ht="12.75">
      <c r="B179" s="412"/>
      <c r="C179" s="412"/>
      <c r="D179" s="412"/>
      <c r="E179" s="412"/>
      <c r="F179" s="412"/>
      <c r="G179" s="412"/>
    </row>
    <row r="180" spans="2:7" ht="12.75">
      <c r="B180" s="412"/>
      <c r="C180" s="412"/>
      <c r="D180" s="412"/>
      <c r="E180" s="412"/>
      <c r="F180" s="412"/>
      <c r="G180" s="412"/>
    </row>
    <row r="181" spans="2:7" ht="12.75">
      <c r="B181" s="412"/>
      <c r="C181" s="412"/>
      <c r="D181" s="412"/>
      <c r="E181" s="412"/>
      <c r="F181" s="412"/>
      <c r="G181" s="412"/>
    </row>
    <row r="182" spans="2:7" ht="12.75">
      <c r="B182" s="412"/>
      <c r="C182" s="412"/>
      <c r="D182" s="412"/>
      <c r="E182" s="412"/>
      <c r="F182" s="412"/>
      <c r="G182" s="412"/>
    </row>
    <row r="183" spans="2:7" ht="12.75">
      <c r="B183" s="412"/>
      <c r="C183" s="412"/>
      <c r="D183" s="412"/>
      <c r="E183" s="412"/>
      <c r="F183" s="412"/>
      <c r="G183" s="412"/>
    </row>
    <row r="184" spans="2:7" ht="12.75">
      <c r="B184" s="412"/>
      <c r="C184" s="412"/>
      <c r="D184" s="412"/>
      <c r="E184" s="412"/>
      <c r="F184" s="412"/>
      <c r="G184" s="412"/>
    </row>
    <row r="185" spans="2:7" ht="12.75">
      <c r="B185" s="412"/>
      <c r="C185" s="412"/>
      <c r="D185" s="412"/>
      <c r="E185" s="412"/>
      <c r="F185" s="412"/>
      <c r="G185" s="412"/>
    </row>
    <row r="186" spans="2:7" ht="12.75">
      <c r="B186" s="412"/>
      <c r="C186" s="412"/>
      <c r="D186" s="412"/>
      <c r="E186" s="412"/>
      <c r="F186" s="412"/>
      <c r="G186" s="412"/>
    </row>
    <row r="187" spans="2:7" ht="12.75">
      <c r="B187" s="412"/>
      <c r="C187" s="412"/>
      <c r="D187" s="412"/>
      <c r="E187" s="412"/>
      <c r="F187" s="412"/>
      <c r="G187" s="412"/>
    </row>
    <row r="188" spans="2:7" ht="12.75">
      <c r="B188" s="412"/>
      <c r="C188" s="412"/>
      <c r="D188" s="412"/>
      <c r="E188" s="412"/>
      <c r="F188" s="412"/>
      <c r="G188" s="412"/>
    </row>
    <row r="189" spans="2:7" ht="12.75">
      <c r="B189" s="412"/>
      <c r="C189" s="412"/>
      <c r="D189" s="412"/>
      <c r="E189" s="412"/>
      <c r="F189" s="412"/>
      <c r="G189" s="412"/>
    </row>
    <row r="190" spans="2:7" ht="12.75">
      <c r="B190" s="412"/>
      <c r="C190" s="412"/>
      <c r="D190" s="412"/>
      <c r="E190" s="412"/>
      <c r="F190" s="412"/>
      <c r="G190" s="412"/>
    </row>
    <row r="191" spans="2:7" ht="12.75">
      <c r="B191" s="412"/>
      <c r="C191" s="412"/>
      <c r="D191" s="412"/>
      <c r="E191" s="412"/>
      <c r="F191" s="412"/>
      <c r="G191" s="412"/>
    </row>
    <row r="192" spans="2:7" ht="12.75">
      <c r="B192" s="412"/>
      <c r="C192" s="412"/>
      <c r="D192" s="412"/>
      <c r="E192" s="412"/>
      <c r="F192" s="412"/>
      <c r="G192" s="412"/>
    </row>
    <row r="193" spans="2:7" ht="12.75">
      <c r="B193" s="412"/>
      <c r="C193" s="412"/>
      <c r="D193" s="412"/>
      <c r="E193" s="412"/>
      <c r="F193" s="412"/>
      <c r="G193" s="412"/>
    </row>
    <row r="194" spans="2:7" ht="12.75">
      <c r="B194" s="412"/>
      <c r="C194" s="412"/>
      <c r="D194" s="412"/>
      <c r="E194" s="412"/>
      <c r="F194" s="412"/>
      <c r="G194" s="412"/>
    </row>
    <row r="195" spans="2:7" ht="12.75">
      <c r="B195" s="412"/>
      <c r="C195" s="412"/>
      <c r="D195" s="412"/>
      <c r="E195" s="412"/>
      <c r="F195" s="412"/>
      <c r="G195" s="412"/>
    </row>
    <row r="196" spans="2:7" ht="12.75">
      <c r="B196" s="412"/>
      <c r="C196" s="412"/>
      <c r="D196" s="412"/>
      <c r="E196" s="412"/>
      <c r="F196" s="412"/>
      <c r="G196" s="412"/>
    </row>
    <row r="197" spans="2:7" ht="12.75">
      <c r="B197" s="412"/>
      <c r="C197" s="412"/>
      <c r="D197" s="412"/>
      <c r="E197" s="412"/>
      <c r="F197" s="412"/>
      <c r="G197" s="412"/>
    </row>
    <row r="198" spans="2:7" ht="12.75">
      <c r="B198" s="412"/>
      <c r="C198" s="412"/>
      <c r="D198" s="412"/>
      <c r="E198" s="412"/>
      <c r="F198" s="412"/>
      <c r="G198" s="412"/>
    </row>
    <row r="199" spans="2:7" ht="12.75">
      <c r="B199" s="412"/>
      <c r="C199" s="412"/>
      <c r="D199" s="412"/>
      <c r="E199" s="412"/>
      <c r="F199" s="412"/>
      <c r="G199" s="412"/>
    </row>
    <row r="200" spans="2:7" ht="12.75">
      <c r="B200" s="412"/>
      <c r="C200" s="412"/>
      <c r="D200" s="412"/>
      <c r="E200" s="412"/>
      <c r="F200" s="412"/>
      <c r="G200" s="412"/>
    </row>
    <row r="201" spans="2:7" ht="12.75">
      <c r="B201" s="412"/>
      <c r="C201" s="412"/>
      <c r="D201" s="412"/>
      <c r="E201" s="412"/>
      <c r="F201" s="412"/>
      <c r="G201" s="412"/>
    </row>
    <row r="202" spans="2:7" ht="12.75">
      <c r="B202" s="412"/>
      <c r="C202" s="412"/>
      <c r="D202" s="412"/>
      <c r="E202" s="412"/>
      <c r="F202" s="412"/>
      <c r="G202" s="412"/>
    </row>
    <row r="203" spans="2:7" ht="12.75">
      <c r="B203" s="412"/>
      <c r="C203" s="412"/>
      <c r="D203" s="412"/>
      <c r="E203" s="412"/>
      <c r="F203" s="412"/>
      <c r="G203" s="412"/>
    </row>
    <row r="204" spans="2:7" ht="12.75">
      <c r="B204" s="412"/>
      <c r="C204" s="412"/>
      <c r="D204" s="412"/>
      <c r="E204" s="412"/>
      <c r="F204" s="412"/>
      <c r="G204" s="412"/>
    </row>
    <row r="205" spans="2:7" ht="12.75">
      <c r="B205" s="412"/>
      <c r="C205" s="412"/>
      <c r="D205" s="412"/>
      <c r="E205" s="412"/>
      <c r="F205" s="412"/>
      <c r="G205" s="412"/>
    </row>
    <row r="206" spans="2:7" ht="12.75">
      <c r="B206" s="412"/>
      <c r="C206" s="412"/>
      <c r="D206" s="412"/>
      <c r="E206" s="412"/>
      <c r="F206" s="412"/>
      <c r="G206" s="412"/>
    </row>
    <row r="207" spans="2:7" ht="12.75">
      <c r="B207" s="412"/>
      <c r="C207" s="412"/>
      <c r="D207" s="412"/>
      <c r="E207" s="412"/>
      <c r="F207" s="412"/>
      <c r="G207" s="412"/>
    </row>
    <row r="208" spans="2:7" ht="12.75">
      <c r="B208" s="412"/>
      <c r="C208" s="412"/>
      <c r="D208" s="412"/>
      <c r="E208" s="412"/>
      <c r="F208" s="412"/>
      <c r="G208" s="412"/>
    </row>
    <row r="209" spans="2:7" ht="12.75">
      <c r="B209" s="412"/>
      <c r="C209" s="412"/>
      <c r="D209" s="412"/>
      <c r="E209" s="412"/>
      <c r="F209" s="412"/>
      <c r="G209" s="412"/>
    </row>
    <row r="210" spans="2:7" ht="12.75">
      <c r="B210" s="412"/>
      <c r="C210" s="412"/>
      <c r="D210" s="412"/>
      <c r="E210" s="412"/>
      <c r="F210" s="412"/>
      <c r="G210" s="412"/>
    </row>
    <row r="211" spans="2:7" ht="12.75">
      <c r="B211" s="412"/>
      <c r="C211" s="412"/>
      <c r="D211" s="412"/>
      <c r="E211" s="412"/>
      <c r="F211" s="412"/>
      <c r="G211" s="412"/>
    </row>
    <row r="212" spans="2:7" ht="12.75">
      <c r="B212" s="412"/>
      <c r="C212" s="412"/>
      <c r="D212" s="412"/>
      <c r="E212" s="412"/>
      <c r="F212" s="412"/>
      <c r="G212" s="412"/>
    </row>
    <row r="213" spans="2:7" ht="12.75">
      <c r="B213" s="412"/>
      <c r="C213" s="412"/>
      <c r="D213" s="412"/>
      <c r="E213" s="412"/>
      <c r="F213" s="412"/>
      <c r="G213" s="412"/>
    </row>
    <row r="214" spans="2:7" ht="12.75">
      <c r="B214" s="412"/>
      <c r="C214" s="412"/>
      <c r="D214" s="412"/>
      <c r="E214" s="412"/>
      <c r="F214" s="412"/>
      <c r="G214" s="412"/>
    </row>
    <row r="215" spans="2:7" ht="12.75">
      <c r="B215" s="412"/>
      <c r="C215" s="412"/>
      <c r="D215" s="412"/>
      <c r="E215" s="412"/>
      <c r="F215" s="412"/>
      <c r="G215" s="412"/>
    </row>
    <row r="216" spans="2:7" ht="12.75">
      <c r="B216" s="412"/>
      <c r="C216" s="412"/>
      <c r="D216" s="412"/>
      <c r="E216" s="412"/>
      <c r="F216" s="412"/>
      <c r="G216" s="412"/>
    </row>
    <row r="217" spans="2:7" ht="12.75">
      <c r="B217" s="412"/>
      <c r="C217" s="412"/>
      <c r="D217" s="412"/>
      <c r="E217" s="412"/>
      <c r="F217" s="412"/>
      <c r="G217" s="412"/>
    </row>
    <row r="218" spans="2:7" ht="12.75">
      <c r="B218" s="412"/>
      <c r="C218" s="412"/>
      <c r="D218" s="412"/>
      <c r="E218" s="412"/>
      <c r="F218" s="412"/>
      <c r="G218" s="412"/>
    </row>
    <row r="219" spans="2:7" ht="12.75">
      <c r="B219" s="412"/>
      <c r="C219" s="412"/>
      <c r="D219" s="412"/>
      <c r="E219" s="412"/>
      <c r="F219" s="412"/>
      <c r="G219" s="412"/>
    </row>
    <row r="220" spans="2:7" ht="12.75">
      <c r="B220" s="412"/>
      <c r="C220" s="412"/>
      <c r="D220" s="412"/>
      <c r="E220" s="412"/>
      <c r="F220" s="412"/>
      <c r="G220" s="412"/>
    </row>
    <row r="221" spans="2:7" ht="12.75">
      <c r="B221" s="412"/>
      <c r="C221" s="412"/>
      <c r="D221" s="412"/>
      <c r="E221" s="412"/>
      <c r="F221" s="412"/>
      <c r="G221" s="412"/>
    </row>
    <row r="222" spans="2:7" ht="12.75">
      <c r="B222" s="412"/>
      <c r="C222" s="412"/>
      <c r="D222" s="412"/>
      <c r="E222" s="412"/>
      <c r="F222" s="412"/>
      <c r="G222" s="412"/>
    </row>
    <row r="223" spans="2:7" ht="12.75">
      <c r="B223" s="412"/>
      <c r="C223" s="412"/>
      <c r="D223" s="412"/>
      <c r="E223" s="412"/>
      <c r="F223" s="412"/>
      <c r="G223" s="412"/>
    </row>
    <row r="224" spans="2:7" ht="12.75">
      <c r="B224" s="412"/>
      <c r="C224" s="412"/>
      <c r="D224" s="412"/>
      <c r="E224" s="412"/>
      <c r="F224" s="412"/>
      <c r="G224" s="412"/>
    </row>
    <row r="225" spans="2:7" ht="12.75">
      <c r="B225" s="412"/>
      <c r="C225" s="412"/>
      <c r="D225" s="412"/>
      <c r="E225" s="412"/>
      <c r="F225" s="412"/>
      <c r="G225" s="412"/>
    </row>
    <row r="226" spans="2:7" ht="12.75">
      <c r="B226" s="412"/>
      <c r="C226" s="412"/>
      <c r="D226" s="412"/>
      <c r="E226" s="412"/>
      <c r="F226" s="412"/>
      <c r="G226" s="412"/>
    </row>
    <row r="227" spans="2:7" ht="12.75">
      <c r="B227" s="412"/>
      <c r="C227" s="412"/>
      <c r="D227" s="412"/>
      <c r="E227" s="412"/>
      <c r="F227" s="412"/>
      <c r="G227" s="412"/>
    </row>
    <row r="228" spans="2:7" ht="12.75">
      <c r="B228" s="412"/>
      <c r="C228" s="412"/>
      <c r="D228" s="412"/>
      <c r="E228" s="412"/>
      <c r="F228" s="412"/>
      <c r="G228" s="412"/>
    </row>
    <row r="229" spans="2:7" ht="12.75">
      <c r="B229" s="412"/>
      <c r="C229" s="412"/>
      <c r="D229" s="412"/>
      <c r="E229" s="412"/>
      <c r="F229" s="412"/>
      <c r="G229" s="412"/>
    </row>
    <row r="230" spans="2:7" ht="12.75">
      <c r="B230" s="412"/>
      <c r="C230" s="412"/>
      <c r="D230" s="412"/>
      <c r="E230" s="412"/>
      <c r="F230" s="412"/>
      <c r="G230" s="412"/>
    </row>
    <row r="231" spans="2:7" ht="12.75">
      <c r="B231" s="412"/>
      <c r="C231" s="412"/>
      <c r="D231" s="412"/>
      <c r="E231" s="412"/>
      <c r="F231" s="412"/>
      <c r="G231" s="412"/>
    </row>
    <row r="232" spans="2:7" ht="12.75">
      <c r="B232" s="412"/>
      <c r="C232" s="412"/>
      <c r="D232" s="412"/>
      <c r="E232" s="412"/>
      <c r="F232" s="412"/>
      <c r="G232" s="412"/>
    </row>
    <row r="233" spans="2:7" ht="12.75">
      <c r="B233" s="412"/>
      <c r="C233" s="412"/>
      <c r="D233" s="412"/>
      <c r="E233" s="412"/>
      <c r="F233" s="412"/>
      <c r="G233" s="412"/>
    </row>
    <row r="234" spans="2:7" ht="12.75">
      <c r="B234" s="412"/>
      <c r="C234" s="412"/>
      <c r="D234" s="412"/>
      <c r="E234" s="412"/>
      <c r="F234" s="412"/>
      <c r="G234" s="412"/>
    </row>
    <row r="235" spans="2:7" ht="12.75">
      <c r="B235" s="412"/>
      <c r="C235" s="412"/>
      <c r="D235" s="412"/>
      <c r="E235" s="412"/>
      <c r="F235" s="412"/>
      <c r="G235" s="412"/>
    </row>
    <row r="236" spans="2:7" ht="12.75">
      <c r="B236" s="412"/>
      <c r="C236" s="412"/>
      <c r="D236" s="412"/>
      <c r="E236" s="412"/>
      <c r="F236" s="412"/>
      <c r="G236" s="412"/>
    </row>
    <row r="237" spans="2:7" ht="12.75">
      <c r="B237" s="412"/>
      <c r="C237" s="412"/>
      <c r="D237" s="412"/>
      <c r="E237" s="412"/>
      <c r="F237" s="412"/>
      <c r="G237" s="412"/>
    </row>
    <row r="238" spans="2:7" ht="12.75">
      <c r="B238" s="412"/>
      <c r="C238" s="412"/>
      <c r="D238" s="412"/>
      <c r="E238" s="412"/>
      <c r="F238" s="412"/>
      <c r="G238" s="412"/>
    </row>
    <row r="239" spans="2:7" ht="12.75">
      <c r="B239" s="412"/>
      <c r="C239" s="412"/>
      <c r="D239" s="412"/>
      <c r="E239" s="412"/>
      <c r="F239" s="412"/>
      <c r="G239" s="412"/>
    </row>
    <row r="240" spans="2:7" ht="12.75">
      <c r="B240" s="412"/>
      <c r="C240" s="412"/>
      <c r="D240" s="412"/>
      <c r="E240" s="412"/>
      <c r="F240" s="412"/>
      <c r="G240" s="412"/>
    </row>
    <row r="241" spans="2:7" ht="12.75">
      <c r="B241" s="412"/>
      <c r="C241" s="412"/>
      <c r="D241" s="412"/>
      <c r="E241" s="412"/>
      <c r="F241" s="412"/>
      <c r="G241" s="412"/>
    </row>
    <row r="242" spans="2:7" ht="12.75">
      <c r="B242" s="412"/>
      <c r="C242" s="412"/>
      <c r="D242" s="412"/>
      <c r="E242" s="412"/>
      <c r="F242" s="412"/>
      <c r="G242" s="412"/>
    </row>
    <row r="243" spans="2:7" ht="12.75">
      <c r="B243" s="412"/>
      <c r="C243" s="412"/>
      <c r="D243" s="412"/>
      <c r="E243" s="412"/>
      <c r="F243" s="412"/>
      <c r="G243" s="412"/>
    </row>
    <row r="244" spans="2:7" ht="12.75">
      <c r="B244" s="412"/>
      <c r="C244" s="412"/>
      <c r="D244" s="412"/>
      <c r="E244" s="412"/>
      <c r="F244" s="412"/>
      <c r="G244" s="412"/>
    </row>
    <row r="245" spans="2:7" ht="12.75">
      <c r="B245" s="412"/>
      <c r="C245" s="412"/>
      <c r="D245" s="412"/>
      <c r="E245" s="412"/>
      <c r="F245" s="412"/>
      <c r="G245" s="412"/>
    </row>
    <row r="246" spans="2:7" ht="12.75">
      <c r="B246" s="412"/>
      <c r="C246" s="412"/>
      <c r="D246" s="412"/>
      <c r="E246" s="412"/>
      <c r="F246" s="412"/>
      <c r="G246" s="412"/>
    </row>
    <row r="247" spans="2:7" ht="12.75">
      <c r="B247" s="412"/>
      <c r="C247" s="412"/>
      <c r="D247" s="412"/>
      <c r="E247" s="412"/>
      <c r="F247" s="412"/>
      <c r="G247" s="412"/>
    </row>
    <row r="248" spans="2:7" ht="12.75">
      <c r="B248" s="412"/>
      <c r="C248" s="412"/>
      <c r="D248" s="412"/>
      <c r="E248" s="412"/>
      <c r="F248" s="412"/>
      <c r="G248" s="412"/>
    </row>
    <row r="249" spans="2:7" ht="12.75">
      <c r="B249" s="412"/>
      <c r="C249" s="412"/>
      <c r="D249" s="412"/>
      <c r="E249" s="412"/>
      <c r="F249" s="412"/>
      <c r="G249" s="412"/>
    </row>
    <row r="250" spans="2:7" ht="12.75">
      <c r="B250" s="412"/>
      <c r="C250" s="412"/>
      <c r="D250" s="412"/>
      <c r="E250" s="412"/>
      <c r="F250" s="412"/>
      <c r="G250" s="412"/>
    </row>
    <row r="251" spans="2:7" ht="12.75">
      <c r="B251" s="412"/>
      <c r="C251" s="412"/>
      <c r="D251" s="412"/>
      <c r="E251" s="412"/>
      <c r="F251" s="412"/>
      <c r="G251" s="412"/>
    </row>
    <row r="252" spans="2:7" ht="12.75">
      <c r="B252" s="412"/>
      <c r="C252" s="412"/>
      <c r="D252" s="412"/>
      <c r="E252" s="412"/>
      <c r="F252" s="412"/>
      <c r="G252" s="412"/>
    </row>
    <row r="253" spans="2:7" ht="12.75">
      <c r="B253" s="412"/>
      <c r="C253" s="412"/>
      <c r="D253" s="412"/>
      <c r="E253" s="412"/>
      <c r="F253" s="412"/>
      <c r="G253" s="412"/>
    </row>
    <row r="254" spans="2:7" ht="12.75">
      <c r="B254" s="412"/>
      <c r="C254" s="412"/>
      <c r="D254" s="412"/>
      <c r="E254" s="412"/>
      <c r="F254" s="412"/>
      <c r="G254" s="412"/>
    </row>
    <row r="255" spans="2:7" ht="12.75">
      <c r="B255" s="412"/>
      <c r="C255" s="412"/>
      <c r="D255" s="412"/>
      <c r="E255" s="412"/>
      <c r="F255" s="412"/>
      <c r="G255" s="412"/>
    </row>
    <row r="256" spans="2:7" ht="12.75">
      <c r="B256" s="412"/>
      <c r="C256" s="412"/>
      <c r="D256" s="412"/>
      <c r="E256" s="412"/>
      <c r="F256" s="412"/>
      <c r="G256" s="412"/>
    </row>
    <row r="257" spans="2:7" ht="12.75">
      <c r="B257" s="412"/>
      <c r="C257" s="412"/>
      <c r="D257" s="412"/>
      <c r="E257" s="412"/>
      <c r="F257" s="412"/>
      <c r="G257" s="412"/>
    </row>
    <row r="258" spans="2:7" ht="12.75">
      <c r="B258" s="412"/>
      <c r="C258" s="412"/>
      <c r="D258" s="412"/>
      <c r="E258" s="412"/>
      <c r="F258" s="412"/>
      <c r="G258" s="412"/>
    </row>
    <row r="259" spans="2:7" ht="12.75">
      <c r="B259" s="412"/>
      <c r="C259" s="412"/>
      <c r="D259" s="412"/>
      <c r="E259" s="412"/>
      <c r="F259" s="412"/>
      <c r="G259" s="412"/>
    </row>
    <row r="260" spans="2:7" ht="12.75">
      <c r="B260" s="412"/>
      <c r="C260" s="412"/>
      <c r="D260" s="412"/>
      <c r="E260" s="412"/>
      <c r="F260" s="412"/>
      <c r="G260" s="412"/>
    </row>
    <row r="261" spans="2:7" ht="12.75">
      <c r="B261" s="412"/>
      <c r="C261" s="412"/>
      <c r="D261" s="412"/>
      <c r="E261" s="412"/>
      <c r="F261" s="412"/>
      <c r="G261" s="412"/>
    </row>
    <row r="262" spans="2:7" ht="12.75">
      <c r="B262" s="412"/>
      <c r="C262" s="412"/>
      <c r="D262" s="412"/>
      <c r="E262" s="412"/>
      <c r="F262" s="412"/>
      <c r="G262" s="412"/>
    </row>
    <row r="263" spans="2:7" ht="12.75">
      <c r="B263" s="412"/>
      <c r="C263" s="412"/>
      <c r="D263" s="412"/>
      <c r="E263" s="412"/>
      <c r="F263" s="412"/>
      <c r="G263" s="412"/>
    </row>
    <row r="264" spans="2:7" ht="12.75">
      <c r="B264" s="412"/>
      <c r="C264" s="412"/>
      <c r="D264" s="412"/>
      <c r="E264" s="412"/>
      <c r="F264" s="412"/>
      <c r="G264" s="412"/>
    </row>
    <row r="265" spans="2:7" ht="12.75">
      <c r="B265" s="412"/>
      <c r="C265" s="412"/>
      <c r="D265" s="412"/>
      <c r="E265" s="412"/>
      <c r="F265" s="412"/>
      <c r="G265" s="412"/>
    </row>
    <row r="266" spans="2:7" ht="12.75">
      <c r="B266" s="412"/>
      <c r="C266" s="412"/>
      <c r="D266" s="412"/>
      <c r="E266" s="412"/>
      <c r="F266" s="412"/>
      <c r="G266" s="412"/>
    </row>
    <row r="267" spans="2:7" ht="12.75">
      <c r="B267" s="412"/>
      <c r="C267" s="412"/>
      <c r="D267" s="412"/>
      <c r="E267" s="412"/>
      <c r="F267" s="412"/>
      <c r="G267" s="412"/>
    </row>
    <row r="268" spans="2:7" ht="12.75">
      <c r="B268" s="412"/>
      <c r="C268" s="412"/>
      <c r="D268" s="412"/>
      <c r="E268" s="412"/>
      <c r="F268" s="412"/>
      <c r="G268" s="412"/>
    </row>
    <row r="269" spans="2:7" ht="12.75">
      <c r="B269" s="412"/>
      <c r="C269" s="412"/>
      <c r="D269" s="412"/>
      <c r="E269" s="412"/>
      <c r="F269" s="412"/>
      <c r="G269" s="412"/>
    </row>
    <row r="270" spans="2:7" ht="12.75">
      <c r="B270" s="412"/>
      <c r="C270" s="412"/>
      <c r="D270" s="412"/>
      <c r="E270" s="412"/>
      <c r="F270" s="412"/>
      <c r="G270" s="412"/>
    </row>
    <row r="271" spans="2:7" ht="12.75">
      <c r="B271" s="412"/>
      <c r="C271" s="412"/>
      <c r="D271" s="412"/>
      <c r="E271" s="412"/>
      <c r="F271" s="412"/>
      <c r="G271" s="412"/>
    </row>
    <row r="272" spans="2:7" ht="12.75">
      <c r="B272" s="412"/>
      <c r="C272" s="412"/>
      <c r="D272" s="412"/>
      <c r="E272" s="412"/>
      <c r="F272" s="412"/>
      <c r="G272" s="412"/>
    </row>
    <row r="273" spans="2:7" ht="12.75">
      <c r="B273" s="412"/>
      <c r="C273" s="412"/>
      <c r="D273" s="412"/>
      <c r="E273" s="412"/>
      <c r="F273" s="412"/>
      <c r="G273" s="412"/>
    </row>
    <row r="274" spans="2:7" ht="12.75">
      <c r="B274" s="412"/>
      <c r="C274" s="412"/>
      <c r="D274" s="412"/>
      <c r="E274" s="412"/>
      <c r="F274" s="412"/>
      <c r="G274" s="412"/>
    </row>
    <row r="275" spans="2:7" ht="12.75">
      <c r="B275" s="412"/>
      <c r="C275" s="412"/>
      <c r="D275" s="412"/>
      <c r="E275" s="412"/>
      <c r="F275" s="412"/>
      <c r="G275" s="412"/>
    </row>
    <row r="276" spans="2:7" ht="12.75">
      <c r="B276" s="412"/>
      <c r="C276" s="412"/>
      <c r="D276" s="412"/>
      <c r="E276" s="412"/>
      <c r="F276" s="412"/>
      <c r="G276" s="412"/>
    </row>
    <row r="277" spans="2:7" ht="12.75">
      <c r="B277" s="412"/>
      <c r="C277" s="412"/>
      <c r="D277" s="412"/>
      <c r="E277" s="412"/>
      <c r="F277" s="412"/>
      <c r="G277" s="412"/>
    </row>
    <row r="278" spans="2:7" ht="12.75">
      <c r="B278" s="412"/>
      <c r="C278" s="412"/>
      <c r="D278" s="412"/>
      <c r="E278" s="412"/>
      <c r="F278" s="412"/>
      <c r="G278" s="412"/>
    </row>
    <row r="279" spans="2:7" ht="12.75">
      <c r="B279" s="412"/>
      <c r="C279" s="412"/>
      <c r="D279" s="412"/>
      <c r="E279" s="412"/>
      <c r="F279" s="412"/>
      <c r="G279" s="412"/>
    </row>
    <row r="280" spans="2:7" ht="12.75">
      <c r="B280" s="412"/>
      <c r="C280" s="412"/>
      <c r="D280" s="412"/>
      <c r="E280" s="412"/>
      <c r="F280" s="412"/>
      <c r="G280" s="412"/>
    </row>
    <row r="281" spans="2:7" ht="12.75">
      <c r="B281" s="412"/>
      <c r="C281" s="412"/>
      <c r="D281" s="412"/>
      <c r="E281" s="412"/>
      <c r="F281" s="412"/>
      <c r="G281" s="412"/>
    </row>
    <row r="282" spans="2:7" ht="12.75">
      <c r="B282" s="412"/>
      <c r="C282" s="412"/>
      <c r="D282" s="412"/>
      <c r="E282" s="412"/>
      <c r="F282" s="412"/>
      <c r="G282" s="412"/>
    </row>
    <row r="283" spans="2:7" ht="12.75">
      <c r="B283" s="412"/>
      <c r="C283" s="412"/>
      <c r="D283" s="412"/>
      <c r="E283" s="412"/>
      <c r="F283" s="412"/>
      <c r="G283" s="412"/>
    </row>
    <row r="284" spans="2:7" ht="12.75">
      <c r="B284" s="412"/>
      <c r="C284" s="412"/>
      <c r="D284" s="412"/>
      <c r="E284" s="412"/>
      <c r="F284" s="412"/>
      <c r="G284" s="412"/>
    </row>
    <row r="285" spans="2:7" ht="12.75">
      <c r="B285" s="412"/>
      <c r="C285" s="412"/>
      <c r="D285" s="412"/>
      <c r="E285" s="412"/>
      <c r="F285" s="412"/>
      <c r="G285" s="412"/>
    </row>
    <row r="286" spans="2:7" ht="12.75">
      <c r="B286" s="412"/>
      <c r="C286" s="412"/>
      <c r="D286" s="412"/>
      <c r="E286" s="412"/>
      <c r="F286" s="412"/>
      <c r="G286" s="412"/>
    </row>
    <row r="287" spans="2:7" ht="12.75">
      <c r="B287" s="412"/>
      <c r="C287" s="412"/>
      <c r="D287" s="412"/>
      <c r="E287" s="412"/>
      <c r="F287" s="412"/>
      <c r="G287" s="412"/>
    </row>
    <row r="288" spans="2:7" ht="12.75">
      <c r="B288" s="412"/>
      <c r="C288" s="412"/>
      <c r="D288" s="412"/>
      <c r="E288" s="412"/>
      <c r="F288" s="412"/>
      <c r="G288" s="412"/>
    </row>
    <row r="289" spans="2:7" ht="12.75">
      <c r="B289" s="412"/>
      <c r="C289" s="412"/>
      <c r="D289" s="412"/>
      <c r="E289" s="412"/>
      <c r="F289" s="412"/>
      <c r="G289" s="412"/>
    </row>
    <row r="290" spans="2:7" ht="12.75">
      <c r="B290" s="412"/>
      <c r="C290" s="412"/>
      <c r="D290" s="412"/>
      <c r="E290" s="412"/>
      <c r="F290" s="412"/>
      <c r="G290" s="412"/>
    </row>
    <row r="291" spans="2:7" ht="12.75">
      <c r="B291" s="412"/>
      <c r="C291" s="412"/>
      <c r="D291" s="412"/>
      <c r="E291" s="412"/>
      <c r="F291" s="412"/>
      <c r="G291" s="412"/>
    </row>
    <row r="292" spans="2:7" ht="12.75">
      <c r="B292" s="412"/>
      <c r="C292" s="412"/>
      <c r="D292" s="412"/>
      <c r="E292" s="412"/>
      <c r="F292" s="412"/>
      <c r="G292" s="412"/>
    </row>
    <row r="293" spans="2:7" ht="12.75">
      <c r="B293" s="412"/>
      <c r="C293" s="412"/>
      <c r="D293" s="412"/>
      <c r="E293" s="412"/>
      <c r="F293" s="412"/>
      <c r="G293" s="412"/>
    </row>
    <row r="294" spans="2:7" ht="12.75">
      <c r="B294" s="412"/>
      <c r="C294" s="412"/>
      <c r="D294" s="412"/>
      <c r="E294" s="412"/>
      <c r="F294" s="412"/>
      <c r="G294" s="412"/>
    </row>
    <row r="295" spans="2:7" ht="12.75">
      <c r="B295" s="412"/>
      <c r="C295" s="412"/>
      <c r="D295" s="412"/>
      <c r="E295" s="412"/>
      <c r="F295" s="412"/>
      <c r="G295" s="412"/>
    </row>
    <row r="296" spans="2:7" ht="12.75">
      <c r="B296" s="412"/>
      <c r="C296" s="412"/>
      <c r="D296" s="412"/>
      <c r="E296" s="412"/>
      <c r="F296" s="412"/>
      <c r="G296" s="412"/>
    </row>
    <row r="297" spans="2:7" ht="12.75">
      <c r="B297" s="412"/>
      <c r="C297" s="412"/>
      <c r="D297" s="412"/>
      <c r="E297" s="412"/>
      <c r="F297" s="412"/>
      <c r="G297" s="412"/>
    </row>
    <row r="298" spans="2:7" ht="12.75">
      <c r="B298" s="412"/>
      <c r="C298" s="412"/>
      <c r="D298" s="412"/>
      <c r="E298" s="412"/>
      <c r="F298" s="412"/>
      <c r="G298" s="412"/>
    </row>
    <row r="299" spans="2:7" ht="12.75">
      <c r="B299" s="412"/>
      <c r="C299" s="412"/>
      <c r="D299" s="412"/>
      <c r="E299" s="412"/>
      <c r="F299" s="412"/>
      <c r="G299" s="412"/>
    </row>
    <row r="300" spans="2:7" ht="12.75">
      <c r="B300" s="412"/>
      <c r="C300" s="412"/>
      <c r="D300" s="412"/>
      <c r="E300" s="412"/>
      <c r="F300" s="412"/>
      <c r="G300" s="412"/>
    </row>
    <row r="301" spans="2:7" ht="12.75">
      <c r="B301" s="412"/>
      <c r="C301" s="412"/>
      <c r="D301" s="412"/>
      <c r="E301" s="412"/>
      <c r="F301" s="412"/>
      <c r="G301" s="412"/>
    </row>
    <row r="302" spans="2:7" ht="12.75">
      <c r="B302" s="412"/>
      <c r="C302" s="412"/>
      <c r="D302" s="412"/>
      <c r="E302" s="412"/>
      <c r="F302" s="412"/>
      <c r="G302" s="412"/>
    </row>
    <row r="303" spans="2:7" ht="12.75">
      <c r="B303" s="412"/>
      <c r="C303" s="412"/>
      <c r="D303" s="412"/>
      <c r="E303" s="412"/>
      <c r="F303" s="412"/>
      <c r="G303" s="412"/>
    </row>
    <row r="304" spans="2:7" ht="12.75">
      <c r="B304" s="412"/>
      <c r="C304" s="412"/>
      <c r="D304" s="412"/>
      <c r="E304" s="412"/>
      <c r="F304" s="412"/>
      <c r="G304" s="412"/>
    </row>
    <row r="305" spans="2:7" ht="12.75">
      <c r="B305" s="412"/>
      <c r="C305" s="412"/>
      <c r="D305" s="412"/>
      <c r="E305" s="412"/>
      <c r="F305" s="412"/>
      <c r="G305" s="412"/>
    </row>
    <row r="306" spans="2:7" ht="12.75">
      <c r="B306" s="412"/>
      <c r="C306" s="412"/>
      <c r="D306" s="412"/>
      <c r="E306" s="412"/>
      <c r="F306" s="412"/>
      <c r="G306" s="412"/>
    </row>
    <row r="307" spans="2:7" ht="12.75">
      <c r="B307" s="412"/>
      <c r="C307" s="412"/>
      <c r="D307" s="412"/>
      <c r="E307" s="412"/>
      <c r="F307" s="412"/>
      <c r="G307" s="412"/>
    </row>
    <row r="308" spans="2:7" ht="12.75">
      <c r="B308" s="412"/>
      <c r="C308" s="412"/>
      <c r="D308" s="412"/>
      <c r="E308" s="412"/>
      <c r="F308" s="412"/>
      <c r="G308" s="412"/>
    </row>
    <row r="309" spans="2:7" ht="12.75">
      <c r="B309" s="412"/>
      <c r="C309" s="412"/>
      <c r="D309" s="412"/>
      <c r="E309" s="412"/>
      <c r="F309" s="412"/>
      <c r="G309" s="412"/>
    </row>
    <row r="310" spans="2:7" ht="12.75">
      <c r="B310" s="412"/>
      <c r="C310" s="412"/>
      <c r="D310" s="412"/>
      <c r="E310" s="412"/>
      <c r="F310" s="412"/>
      <c r="G310" s="412"/>
    </row>
    <row r="311" spans="2:7" ht="12.75">
      <c r="B311" s="412"/>
      <c r="C311" s="412"/>
      <c r="D311" s="412"/>
      <c r="E311" s="412"/>
      <c r="F311" s="412"/>
      <c r="G311" s="412"/>
    </row>
    <row r="312" spans="2:7" ht="12.75">
      <c r="B312" s="412"/>
      <c r="C312" s="412"/>
      <c r="D312" s="412"/>
      <c r="E312" s="412"/>
      <c r="F312" s="412"/>
      <c r="G312" s="412"/>
    </row>
    <row r="313" spans="2:7" ht="12.75">
      <c r="B313" s="412"/>
      <c r="C313" s="412"/>
      <c r="D313" s="412"/>
      <c r="E313" s="412"/>
      <c r="F313" s="412"/>
      <c r="G313" s="412"/>
    </row>
    <row r="314" spans="2:7" ht="12.75">
      <c r="B314" s="412"/>
      <c r="C314" s="412"/>
      <c r="D314" s="412"/>
      <c r="E314" s="412"/>
      <c r="F314" s="412"/>
      <c r="G314" s="412"/>
    </row>
    <row r="315" spans="2:7" ht="12.75">
      <c r="B315" s="412"/>
      <c r="C315" s="412"/>
      <c r="D315" s="412"/>
      <c r="E315" s="412"/>
      <c r="F315" s="412"/>
      <c r="G315" s="412"/>
    </row>
    <row r="316" spans="2:7" ht="12.75">
      <c r="B316" s="412"/>
      <c r="C316" s="412"/>
      <c r="D316" s="412"/>
      <c r="E316" s="412"/>
      <c r="F316" s="412"/>
      <c r="G316" s="412"/>
    </row>
    <row r="317" spans="2:7" ht="12.75">
      <c r="B317" s="412"/>
      <c r="C317" s="412"/>
      <c r="D317" s="412"/>
      <c r="E317" s="412"/>
      <c r="F317" s="412"/>
      <c r="G317" s="412"/>
    </row>
    <row r="318" spans="2:7" ht="12.75">
      <c r="B318" s="412"/>
      <c r="C318" s="412"/>
      <c r="D318" s="412"/>
      <c r="E318" s="412"/>
      <c r="F318" s="412"/>
      <c r="G318" s="412"/>
    </row>
    <row r="319" spans="2:7" ht="12.75">
      <c r="B319" s="412"/>
      <c r="C319" s="412"/>
      <c r="D319" s="412"/>
      <c r="E319" s="412"/>
      <c r="F319" s="412"/>
      <c r="G319" s="412"/>
    </row>
    <row r="320" spans="2:7" ht="12.75">
      <c r="B320" s="412"/>
      <c r="C320" s="412"/>
      <c r="D320" s="412"/>
      <c r="E320" s="412"/>
      <c r="F320" s="412"/>
      <c r="G320" s="412"/>
    </row>
    <row r="321" spans="2:7" ht="12.75">
      <c r="B321" s="412"/>
      <c r="C321" s="412"/>
      <c r="D321" s="412"/>
      <c r="E321" s="412"/>
      <c r="F321" s="412"/>
      <c r="G321" s="412"/>
    </row>
    <row r="322" spans="2:7" ht="12.75">
      <c r="B322" s="412"/>
      <c r="C322" s="412"/>
      <c r="D322" s="412"/>
      <c r="E322" s="412"/>
      <c r="F322" s="412"/>
      <c r="G322" s="412"/>
    </row>
    <row r="323" spans="2:7" ht="12.75">
      <c r="B323" s="412"/>
      <c r="C323" s="412"/>
      <c r="D323" s="412"/>
      <c r="E323" s="412"/>
      <c r="F323" s="412"/>
      <c r="G323" s="412"/>
    </row>
    <row r="324" spans="2:7" ht="12.75">
      <c r="B324" s="412"/>
      <c r="C324" s="412"/>
      <c r="D324" s="412"/>
      <c r="E324" s="412"/>
      <c r="F324" s="412"/>
      <c r="G324" s="412"/>
    </row>
    <row r="325" spans="2:7" ht="12.75">
      <c r="B325" s="412"/>
      <c r="C325" s="412"/>
      <c r="D325" s="412"/>
      <c r="E325" s="412"/>
      <c r="F325" s="412"/>
      <c r="G325" s="412"/>
    </row>
    <row r="326" spans="2:7" ht="12.75">
      <c r="B326" s="412"/>
      <c r="C326" s="412"/>
      <c r="D326" s="412"/>
      <c r="E326" s="412"/>
      <c r="F326" s="412"/>
      <c r="G326" s="412"/>
    </row>
    <row r="327" spans="2:7" ht="12.75">
      <c r="B327" s="412"/>
      <c r="C327" s="412"/>
      <c r="D327" s="412"/>
      <c r="E327" s="412"/>
      <c r="F327" s="412"/>
      <c r="G327" s="412"/>
    </row>
    <row r="328" spans="2:7" ht="12.75">
      <c r="B328" s="412"/>
      <c r="C328" s="412"/>
      <c r="D328" s="412"/>
      <c r="E328" s="412"/>
      <c r="F328" s="412"/>
      <c r="G328" s="412"/>
    </row>
    <row r="329" spans="2:7" ht="12.75">
      <c r="B329" s="412"/>
      <c r="C329" s="412"/>
      <c r="D329" s="412"/>
      <c r="E329" s="412"/>
      <c r="F329" s="412"/>
      <c r="G329" s="412"/>
    </row>
    <row r="330" spans="2:7" ht="12.75">
      <c r="B330" s="412"/>
      <c r="C330" s="412"/>
      <c r="D330" s="412"/>
      <c r="E330" s="412"/>
      <c r="F330" s="412"/>
      <c r="G330" s="412"/>
    </row>
    <row r="331" spans="2:7" ht="12.75">
      <c r="B331" s="412"/>
      <c r="C331" s="412"/>
      <c r="D331" s="412"/>
      <c r="E331" s="412"/>
      <c r="F331" s="412"/>
      <c r="G331" s="412"/>
    </row>
    <row r="332" spans="2:7" ht="12.75">
      <c r="B332" s="412"/>
      <c r="C332" s="412"/>
      <c r="D332" s="412"/>
      <c r="E332" s="412"/>
      <c r="F332" s="412"/>
      <c r="G332" s="412"/>
    </row>
    <row r="333" spans="2:7" ht="12.75">
      <c r="B333" s="412"/>
      <c r="C333" s="412"/>
      <c r="D333" s="412"/>
      <c r="E333" s="412"/>
      <c r="F333" s="412"/>
      <c r="G333" s="412"/>
    </row>
    <row r="334" spans="2:7" ht="12.75">
      <c r="B334" s="412"/>
      <c r="C334" s="412"/>
      <c r="D334" s="412"/>
      <c r="E334" s="412"/>
      <c r="F334" s="412"/>
      <c r="G334" s="412"/>
    </row>
    <row r="335" spans="2:7" ht="12.75">
      <c r="B335" s="412"/>
      <c r="C335" s="412"/>
      <c r="D335" s="412"/>
      <c r="E335" s="412"/>
      <c r="F335" s="412"/>
      <c r="G335" s="412"/>
    </row>
    <row r="336" spans="2:7" ht="12.75">
      <c r="B336" s="412"/>
      <c r="C336" s="412"/>
      <c r="D336" s="412"/>
      <c r="E336" s="412"/>
      <c r="F336" s="412"/>
      <c r="G336" s="412"/>
    </row>
    <row r="337" spans="2:7" ht="12.75">
      <c r="B337" s="412"/>
      <c r="C337" s="412"/>
      <c r="D337" s="412"/>
      <c r="E337" s="412"/>
      <c r="F337" s="412"/>
      <c r="G337" s="412"/>
    </row>
    <row r="338" spans="2:7" ht="12.75">
      <c r="B338" s="412"/>
      <c r="C338" s="412"/>
      <c r="D338" s="412"/>
      <c r="E338" s="412"/>
      <c r="F338" s="412"/>
      <c r="G338" s="412"/>
    </row>
    <row r="339" spans="2:7" ht="12.75">
      <c r="B339" s="412"/>
      <c r="C339" s="412"/>
      <c r="D339" s="412"/>
      <c r="E339" s="412"/>
      <c r="F339" s="412"/>
      <c r="G339" s="412"/>
    </row>
    <row r="340" spans="2:7" ht="12.75">
      <c r="B340" s="412"/>
      <c r="C340" s="412"/>
      <c r="D340" s="412"/>
      <c r="E340" s="412"/>
      <c r="F340" s="412"/>
      <c r="G340" s="412"/>
    </row>
    <row r="341" spans="2:7" ht="12.75">
      <c r="B341" s="412"/>
      <c r="C341" s="412"/>
      <c r="D341" s="412"/>
      <c r="E341" s="412"/>
      <c r="F341" s="412"/>
      <c r="G341" s="412"/>
    </row>
    <row r="342" spans="2:7" ht="12.75">
      <c r="B342" s="412"/>
      <c r="C342" s="412"/>
      <c r="D342" s="412"/>
      <c r="E342" s="412"/>
      <c r="F342" s="412"/>
      <c r="G342" s="412"/>
    </row>
    <row r="343" spans="2:7" ht="12.75">
      <c r="B343" s="412"/>
      <c r="C343" s="412"/>
      <c r="D343" s="412"/>
      <c r="E343" s="412"/>
      <c r="F343" s="412"/>
      <c r="G343" s="412"/>
    </row>
    <row r="344" spans="2:7" ht="12.75">
      <c r="B344" s="412"/>
      <c r="C344" s="412"/>
      <c r="D344" s="412"/>
      <c r="E344" s="412"/>
      <c r="F344" s="412"/>
      <c r="G344" s="412"/>
    </row>
    <row r="345" spans="2:7" ht="12.75">
      <c r="B345" s="412"/>
      <c r="C345" s="412"/>
      <c r="D345" s="412"/>
      <c r="E345" s="412"/>
      <c r="F345" s="412"/>
      <c r="G345" s="412"/>
    </row>
    <row r="346" spans="2:7" ht="12.75">
      <c r="B346" s="412"/>
      <c r="C346" s="412"/>
      <c r="D346" s="412"/>
      <c r="E346" s="412"/>
      <c r="F346" s="412"/>
      <c r="G346" s="412"/>
    </row>
    <row r="347" spans="2:7" ht="12.75">
      <c r="B347" s="412"/>
      <c r="C347" s="412"/>
      <c r="D347" s="412"/>
      <c r="E347" s="412"/>
      <c r="F347" s="412"/>
      <c r="G347" s="412"/>
    </row>
    <row r="348" spans="2:7" ht="12.75">
      <c r="B348" s="412"/>
      <c r="C348" s="412"/>
      <c r="D348" s="412"/>
      <c r="E348" s="412"/>
      <c r="F348" s="412"/>
      <c r="G348" s="412"/>
    </row>
    <row r="349" spans="2:7" ht="12.75">
      <c r="B349" s="412"/>
      <c r="C349" s="412"/>
      <c r="D349" s="412"/>
      <c r="E349" s="412"/>
      <c r="F349" s="412"/>
      <c r="G349" s="412"/>
    </row>
    <row r="350" spans="2:7" ht="12.75">
      <c r="B350" s="412"/>
      <c r="C350" s="412"/>
      <c r="D350" s="412"/>
      <c r="E350" s="412"/>
      <c r="F350" s="412"/>
      <c r="G350" s="412"/>
    </row>
    <row r="351" spans="2:7" ht="12.75">
      <c r="B351" s="412"/>
      <c r="C351" s="412"/>
      <c r="D351" s="412"/>
      <c r="E351" s="412"/>
      <c r="F351" s="412"/>
      <c r="G351" s="412"/>
    </row>
    <row r="352" spans="2:7" ht="12.75">
      <c r="B352" s="412"/>
      <c r="C352" s="412"/>
      <c r="D352" s="412"/>
      <c r="E352" s="412"/>
      <c r="F352" s="412"/>
      <c r="G352" s="412"/>
    </row>
    <row r="353" spans="2:7" ht="12.75">
      <c r="B353" s="412"/>
      <c r="C353" s="412"/>
      <c r="D353" s="412"/>
      <c r="E353" s="412"/>
      <c r="F353" s="412"/>
      <c r="G353" s="412"/>
    </row>
    <row r="354" spans="2:7" ht="12.75">
      <c r="B354" s="412"/>
      <c r="C354" s="412"/>
      <c r="D354" s="412"/>
      <c r="E354" s="412"/>
      <c r="F354" s="412"/>
      <c r="G354" s="412"/>
    </row>
    <row r="355" spans="2:7" ht="12.75">
      <c r="B355" s="412"/>
      <c r="C355" s="412"/>
      <c r="D355" s="412"/>
      <c r="E355" s="412"/>
      <c r="F355" s="412"/>
      <c r="G355" s="412"/>
    </row>
    <row r="356" spans="2:7" ht="12.75">
      <c r="B356" s="412"/>
      <c r="C356" s="412"/>
      <c r="D356" s="412"/>
      <c r="E356" s="412"/>
      <c r="F356" s="412"/>
      <c r="G356" s="412"/>
    </row>
    <row r="357" spans="2:7" ht="12.75">
      <c r="B357" s="412"/>
      <c r="C357" s="412"/>
      <c r="D357" s="412"/>
      <c r="E357" s="412"/>
      <c r="F357" s="412"/>
      <c r="G357" s="412"/>
    </row>
    <row r="358" spans="2:7" ht="12.75">
      <c r="B358" s="412"/>
      <c r="C358" s="412"/>
      <c r="D358" s="412"/>
      <c r="E358" s="412"/>
      <c r="F358" s="412"/>
      <c r="G358" s="412"/>
    </row>
    <row r="359" spans="2:7" ht="12.75">
      <c r="B359" s="412"/>
      <c r="C359" s="412"/>
      <c r="D359" s="412"/>
      <c r="E359" s="412"/>
      <c r="F359" s="412"/>
      <c r="G359" s="412"/>
    </row>
    <row r="360" spans="2:7" ht="12.75">
      <c r="B360" s="412"/>
      <c r="C360" s="412"/>
      <c r="D360" s="412"/>
      <c r="E360" s="412"/>
      <c r="F360" s="412"/>
      <c r="G360" s="412"/>
    </row>
    <row r="361" spans="2:7" ht="12.75">
      <c r="B361" s="412"/>
      <c r="C361" s="412"/>
      <c r="D361" s="412"/>
      <c r="E361" s="412"/>
      <c r="F361" s="412"/>
      <c r="G361" s="412"/>
    </row>
    <row r="362" spans="2:7" ht="12.75">
      <c r="B362" s="412"/>
      <c r="C362" s="412"/>
      <c r="D362" s="412"/>
      <c r="E362" s="412"/>
      <c r="F362" s="412"/>
      <c r="G362" s="412"/>
    </row>
    <row r="363" spans="2:7" ht="12.75">
      <c r="B363" s="412"/>
      <c r="C363" s="412"/>
      <c r="D363" s="412"/>
      <c r="E363" s="412"/>
      <c r="F363" s="412"/>
      <c r="G363" s="412"/>
    </row>
    <row r="364" spans="2:7" ht="12.75">
      <c r="B364" s="412"/>
      <c r="C364" s="412"/>
      <c r="D364" s="412"/>
      <c r="E364" s="412"/>
      <c r="F364" s="412"/>
      <c r="G364" s="412"/>
    </row>
    <row r="365" spans="2:7" ht="12.75">
      <c r="B365" s="412"/>
      <c r="C365" s="412"/>
      <c r="D365" s="412"/>
      <c r="E365" s="412"/>
      <c r="F365" s="412"/>
      <c r="G365" s="412"/>
    </row>
    <row r="366" spans="2:7" ht="12.75">
      <c r="B366" s="412"/>
      <c r="C366" s="412"/>
      <c r="D366" s="412"/>
      <c r="E366" s="412"/>
      <c r="F366" s="412"/>
      <c r="G366" s="412"/>
    </row>
    <row r="367" spans="2:7" ht="12.75">
      <c r="B367" s="412"/>
      <c r="C367" s="412"/>
      <c r="D367" s="412"/>
      <c r="E367" s="412"/>
      <c r="F367" s="412"/>
      <c r="G367" s="412"/>
    </row>
    <row r="368" spans="2:7" ht="12.75">
      <c r="B368" s="412"/>
      <c r="C368" s="412"/>
      <c r="D368" s="412"/>
      <c r="E368" s="412"/>
      <c r="F368" s="412"/>
      <c r="G368" s="412"/>
    </row>
    <row r="369" spans="2:7" ht="12.75">
      <c r="B369" s="412"/>
      <c r="C369" s="412"/>
      <c r="D369" s="412"/>
      <c r="E369" s="412"/>
      <c r="F369" s="412"/>
      <c r="G369" s="412"/>
    </row>
    <row r="370" spans="2:7" ht="12.75">
      <c r="B370" s="412"/>
      <c r="C370" s="412"/>
      <c r="D370" s="412"/>
      <c r="E370" s="412"/>
      <c r="F370" s="412"/>
      <c r="G370" s="412"/>
    </row>
    <row r="371" spans="2:7" ht="12.75">
      <c r="B371" s="412"/>
      <c r="C371" s="412"/>
      <c r="D371" s="412"/>
      <c r="E371" s="412"/>
      <c r="F371" s="412"/>
      <c r="G371" s="412"/>
    </row>
    <row r="372" spans="2:7" ht="12.75">
      <c r="B372" s="412"/>
      <c r="C372" s="412"/>
      <c r="D372" s="412"/>
      <c r="E372" s="412"/>
      <c r="F372" s="412"/>
      <c r="G372" s="412"/>
    </row>
    <row r="373" spans="2:7" ht="12.75">
      <c r="B373" s="412"/>
      <c r="C373" s="412"/>
      <c r="D373" s="412"/>
      <c r="E373" s="412"/>
      <c r="F373" s="412"/>
      <c r="G373" s="412"/>
    </row>
    <row r="374" spans="2:7" ht="12.75">
      <c r="B374" s="412"/>
      <c r="C374" s="412"/>
      <c r="D374" s="412"/>
      <c r="E374" s="412"/>
      <c r="F374" s="412"/>
      <c r="G374" s="412"/>
    </row>
    <row r="375" spans="2:7" ht="12.75">
      <c r="B375" s="412"/>
      <c r="C375" s="412"/>
      <c r="D375" s="412"/>
      <c r="E375" s="412"/>
      <c r="F375" s="412"/>
      <c r="G375" s="412"/>
    </row>
    <row r="376" spans="2:7" ht="12.75">
      <c r="B376" s="412"/>
      <c r="C376" s="412"/>
      <c r="D376" s="412"/>
      <c r="E376" s="412"/>
      <c r="F376" s="412"/>
      <c r="G376" s="412"/>
    </row>
    <row r="377" spans="2:7" ht="12.75">
      <c r="B377" s="412"/>
      <c r="C377" s="412"/>
      <c r="D377" s="412"/>
      <c r="E377" s="412"/>
      <c r="F377" s="412"/>
      <c r="G377" s="412"/>
    </row>
    <row r="378" spans="2:7" ht="12.75">
      <c r="B378" s="412"/>
      <c r="C378" s="412"/>
      <c r="D378" s="412"/>
      <c r="E378" s="412"/>
      <c r="F378" s="412"/>
      <c r="G378" s="412"/>
    </row>
    <row r="379" spans="2:7" ht="12.75">
      <c r="B379" s="412"/>
      <c r="C379" s="412"/>
      <c r="D379" s="412"/>
      <c r="E379" s="412"/>
      <c r="F379" s="412"/>
      <c r="G379" s="412"/>
    </row>
    <row r="380" spans="2:7" ht="12.75">
      <c r="B380" s="412"/>
      <c r="C380" s="412"/>
      <c r="D380" s="412"/>
      <c r="E380" s="412"/>
      <c r="F380" s="412"/>
      <c r="G380" s="412"/>
    </row>
    <row r="381" spans="2:7" ht="12.75">
      <c r="B381" s="412"/>
      <c r="C381" s="412"/>
      <c r="D381" s="412"/>
      <c r="E381" s="412"/>
      <c r="F381" s="412"/>
      <c r="G381" s="412"/>
    </row>
    <row r="382" spans="2:7" ht="12.75">
      <c r="B382" s="412"/>
      <c r="C382" s="412"/>
      <c r="D382" s="412"/>
      <c r="E382" s="412"/>
      <c r="F382" s="412"/>
      <c r="G382" s="412"/>
    </row>
    <row r="383" spans="2:7" ht="12.75">
      <c r="B383" s="412"/>
      <c r="C383" s="412"/>
      <c r="D383" s="412"/>
      <c r="E383" s="412"/>
      <c r="F383" s="412"/>
      <c r="G383" s="412"/>
    </row>
    <row r="384" spans="2:7" ht="12.75">
      <c r="B384" s="412"/>
      <c r="C384" s="412"/>
      <c r="D384" s="412"/>
      <c r="E384" s="412"/>
      <c r="F384" s="412"/>
      <c r="G384" s="412"/>
    </row>
    <row r="385" spans="2:7" ht="12.75">
      <c r="B385" s="412"/>
      <c r="C385" s="412"/>
      <c r="D385" s="412"/>
      <c r="E385" s="412"/>
      <c r="F385" s="412"/>
      <c r="G385" s="412"/>
    </row>
    <row r="386" spans="2:7" ht="12.75">
      <c r="B386" s="412"/>
      <c r="C386" s="412"/>
      <c r="D386" s="412"/>
      <c r="E386" s="412"/>
      <c r="F386" s="412"/>
      <c r="G386" s="412"/>
    </row>
    <row r="387" spans="2:7" ht="12.75">
      <c r="B387" s="412"/>
      <c r="C387" s="412"/>
      <c r="D387" s="412"/>
      <c r="E387" s="412"/>
      <c r="F387" s="412"/>
      <c r="G387" s="412"/>
    </row>
    <row r="388" spans="2:7" ht="12.75">
      <c r="B388" s="412"/>
      <c r="C388" s="412"/>
      <c r="D388" s="412"/>
      <c r="E388" s="412"/>
      <c r="F388" s="412"/>
      <c r="G388" s="412"/>
    </row>
    <row r="389" spans="2:7" ht="12.75">
      <c r="B389" s="412"/>
      <c r="C389" s="412"/>
      <c r="D389" s="412"/>
      <c r="E389" s="412"/>
      <c r="F389" s="412"/>
      <c r="G389" s="412"/>
    </row>
    <row r="390" spans="2:7" ht="12.75">
      <c r="B390" s="412"/>
      <c r="C390" s="412"/>
      <c r="D390" s="412"/>
      <c r="E390" s="412"/>
      <c r="F390" s="412"/>
      <c r="G390" s="412"/>
    </row>
    <row r="391" spans="2:7" ht="12.75">
      <c r="B391" s="412"/>
      <c r="C391" s="412"/>
      <c r="D391" s="412"/>
      <c r="E391" s="412"/>
      <c r="F391" s="412"/>
      <c r="G391" s="412"/>
    </row>
    <row r="392" spans="2:7" ht="12.75">
      <c r="B392" s="412"/>
      <c r="C392" s="412"/>
      <c r="D392" s="412"/>
      <c r="E392" s="412"/>
      <c r="F392" s="412"/>
      <c r="G392" s="412"/>
    </row>
    <row r="393" spans="2:7" ht="12.75">
      <c r="B393" s="412"/>
      <c r="C393" s="412"/>
      <c r="D393" s="412"/>
      <c r="E393" s="412"/>
      <c r="F393" s="412"/>
      <c r="G393" s="412"/>
    </row>
    <row r="394" spans="2:7" ht="12.75">
      <c r="B394" s="412"/>
      <c r="C394" s="412"/>
      <c r="D394" s="412"/>
      <c r="E394" s="412"/>
      <c r="F394" s="412"/>
      <c r="G394" s="412"/>
    </row>
    <row r="395" spans="2:7" ht="12.75">
      <c r="B395" s="412"/>
      <c r="C395" s="412"/>
      <c r="D395" s="412"/>
      <c r="E395" s="412"/>
      <c r="F395" s="412"/>
      <c r="G395" s="412"/>
    </row>
    <row r="396" spans="2:7" ht="12.75">
      <c r="B396" s="412"/>
      <c r="C396" s="412"/>
      <c r="D396" s="412"/>
      <c r="E396" s="412"/>
      <c r="F396" s="412"/>
      <c r="G396" s="412"/>
    </row>
    <row r="397" spans="2:7" ht="12.75">
      <c r="B397" s="412"/>
      <c r="C397" s="412"/>
      <c r="D397" s="412"/>
      <c r="E397" s="412"/>
      <c r="F397" s="412"/>
      <c r="G397" s="412"/>
    </row>
    <row r="398" spans="2:7" ht="12.75">
      <c r="B398" s="412"/>
      <c r="C398" s="412"/>
      <c r="D398" s="412"/>
      <c r="E398" s="412"/>
      <c r="F398" s="412"/>
      <c r="G398" s="412"/>
    </row>
    <row r="399" spans="2:7" ht="12.75">
      <c r="B399" s="412"/>
      <c r="C399" s="412"/>
      <c r="D399" s="412"/>
      <c r="E399" s="412"/>
      <c r="F399" s="412"/>
      <c r="G399" s="412"/>
    </row>
    <row r="400" spans="2:7" ht="12.75">
      <c r="B400" s="412"/>
      <c r="C400" s="412"/>
      <c r="D400" s="412"/>
      <c r="E400" s="412"/>
      <c r="F400" s="412"/>
      <c r="G400" s="412"/>
    </row>
    <row r="401" spans="2:7" ht="12.75">
      <c r="B401" s="412"/>
      <c r="C401" s="412"/>
      <c r="D401" s="412"/>
      <c r="E401" s="412"/>
      <c r="F401" s="412"/>
      <c r="G401" s="412"/>
    </row>
    <row r="402" spans="2:7" ht="12.75">
      <c r="B402" s="412"/>
      <c r="C402" s="412"/>
      <c r="D402" s="412"/>
      <c r="E402" s="412"/>
      <c r="F402" s="412"/>
      <c r="G402" s="412"/>
    </row>
    <row r="403" spans="2:7" ht="12.75">
      <c r="B403" s="412"/>
      <c r="C403" s="412"/>
      <c r="D403" s="412"/>
      <c r="E403" s="412"/>
      <c r="F403" s="412"/>
      <c r="G403" s="412"/>
    </row>
    <row r="404" spans="2:7" ht="12.75">
      <c r="B404" s="412"/>
      <c r="C404" s="412"/>
      <c r="D404" s="412"/>
      <c r="E404" s="412"/>
      <c r="F404" s="412"/>
      <c r="G404" s="412"/>
    </row>
    <row r="405" spans="2:7" ht="12.75">
      <c r="B405" s="412"/>
      <c r="C405" s="412"/>
      <c r="D405" s="412"/>
      <c r="E405" s="412"/>
      <c r="F405" s="412"/>
      <c r="G405" s="412"/>
    </row>
    <row r="406" spans="2:7" ht="12.75">
      <c r="B406" s="412"/>
      <c r="C406" s="412"/>
      <c r="D406" s="412"/>
      <c r="E406" s="412"/>
      <c r="F406" s="412"/>
      <c r="G406" s="412"/>
    </row>
    <row r="407" spans="2:7" ht="12.75">
      <c r="B407" s="412"/>
      <c r="C407" s="412"/>
      <c r="D407" s="412"/>
      <c r="E407" s="412"/>
      <c r="F407" s="412"/>
      <c r="G407" s="412"/>
    </row>
    <row r="408" spans="2:7" ht="12.75">
      <c r="B408" s="412"/>
      <c r="C408" s="412"/>
      <c r="D408" s="412"/>
      <c r="E408" s="412"/>
      <c r="F408" s="412"/>
      <c r="G408" s="412"/>
    </row>
    <row r="409" spans="2:7" ht="12.75">
      <c r="B409" s="412"/>
      <c r="C409" s="412"/>
      <c r="D409" s="412"/>
      <c r="E409" s="412"/>
      <c r="F409" s="412"/>
      <c r="G409" s="412"/>
    </row>
    <row r="410" spans="2:7" ht="12.75">
      <c r="B410" s="412"/>
      <c r="C410" s="412"/>
      <c r="D410" s="412"/>
      <c r="E410" s="412"/>
      <c r="F410" s="412"/>
      <c r="G410" s="412"/>
    </row>
    <row r="411" spans="2:7" ht="12.75">
      <c r="B411" s="412"/>
      <c r="C411" s="412"/>
      <c r="D411" s="412"/>
      <c r="E411" s="412"/>
      <c r="F411" s="412"/>
      <c r="G411" s="412"/>
    </row>
    <row r="412" spans="2:7" ht="12.75">
      <c r="B412" s="412"/>
      <c r="C412" s="412"/>
      <c r="D412" s="412"/>
      <c r="E412" s="412"/>
      <c r="F412" s="412"/>
      <c r="G412" s="412"/>
    </row>
    <row r="413" spans="2:7" ht="12.75">
      <c r="B413" s="412"/>
      <c r="C413" s="412"/>
      <c r="D413" s="412"/>
      <c r="E413" s="412"/>
      <c r="F413" s="412"/>
      <c r="G413" s="412"/>
    </row>
    <row r="414" spans="2:7" ht="12.75">
      <c r="B414" s="412"/>
      <c r="C414" s="412"/>
      <c r="D414" s="412"/>
      <c r="E414" s="412"/>
      <c r="F414" s="412"/>
      <c r="G414" s="412"/>
    </row>
    <row r="415" spans="2:7" ht="12.75">
      <c r="B415" s="412"/>
      <c r="C415" s="412"/>
      <c r="D415" s="412"/>
      <c r="E415" s="412"/>
      <c r="F415" s="412"/>
      <c r="G415" s="412"/>
    </row>
    <row r="416" spans="2:7" ht="12.75">
      <c r="B416" s="412"/>
      <c r="C416" s="412"/>
      <c r="D416" s="412"/>
      <c r="E416" s="412"/>
      <c r="F416" s="412"/>
      <c r="G416" s="412"/>
    </row>
    <row r="417" spans="2:7" ht="12.75">
      <c r="B417" s="412"/>
      <c r="C417" s="412"/>
      <c r="D417" s="412"/>
      <c r="E417" s="412"/>
      <c r="F417" s="412"/>
      <c r="G417" s="412"/>
    </row>
    <row r="418" spans="2:7" ht="12.75">
      <c r="B418" s="412"/>
      <c r="C418" s="412"/>
      <c r="D418" s="412"/>
      <c r="E418" s="412"/>
      <c r="F418" s="412"/>
      <c r="G418" s="412"/>
    </row>
    <row r="419" spans="2:7" ht="12.75">
      <c r="B419" s="412"/>
      <c r="C419" s="412"/>
      <c r="D419" s="412"/>
      <c r="E419" s="412"/>
      <c r="F419" s="412"/>
      <c r="G419" s="412"/>
    </row>
    <row r="420" spans="2:7" ht="12.75">
      <c r="B420" s="412"/>
      <c r="C420" s="412"/>
      <c r="D420" s="412"/>
      <c r="E420" s="412"/>
      <c r="F420" s="412"/>
      <c r="G420" s="412"/>
    </row>
    <row r="421" spans="2:7" ht="12.75">
      <c r="B421" s="412"/>
      <c r="C421" s="412"/>
      <c r="D421" s="412"/>
      <c r="E421" s="412"/>
      <c r="F421" s="412"/>
      <c r="G421" s="412"/>
    </row>
    <row r="422" spans="2:7" ht="12.75">
      <c r="B422" s="412"/>
      <c r="C422" s="412"/>
      <c r="D422" s="412"/>
      <c r="E422" s="412"/>
      <c r="F422" s="412"/>
      <c r="G422" s="412"/>
    </row>
    <row r="423" spans="2:7" ht="12.75">
      <c r="B423" s="412"/>
      <c r="C423" s="412"/>
      <c r="D423" s="412"/>
      <c r="E423" s="412"/>
      <c r="F423" s="412"/>
      <c r="G423" s="412"/>
    </row>
    <row r="424" spans="2:7" ht="12.75">
      <c r="B424" s="412"/>
      <c r="C424" s="412"/>
      <c r="D424" s="412"/>
      <c r="E424" s="412"/>
      <c r="F424" s="412"/>
      <c r="G424" s="412"/>
    </row>
    <row r="425" spans="2:7" ht="12.75">
      <c r="B425" s="412"/>
      <c r="C425" s="412"/>
      <c r="D425" s="412"/>
      <c r="E425" s="412"/>
      <c r="F425" s="412"/>
      <c r="G425" s="412"/>
    </row>
    <row r="426" spans="2:7" ht="12.75">
      <c r="B426" s="412"/>
      <c r="C426" s="412"/>
      <c r="D426" s="412"/>
      <c r="E426" s="412"/>
      <c r="F426" s="412"/>
      <c r="G426" s="412"/>
    </row>
    <row r="427" spans="2:7" ht="12.75">
      <c r="B427" s="412"/>
      <c r="C427" s="412"/>
      <c r="D427" s="412"/>
      <c r="E427" s="412"/>
      <c r="F427" s="412"/>
      <c r="G427" s="412"/>
    </row>
    <row r="428" spans="2:7" ht="12.75">
      <c r="B428" s="412"/>
      <c r="C428" s="412"/>
      <c r="D428" s="412"/>
      <c r="E428" s="412"/>
      <c r="F428" s="412"/>
      <c r="G428" s="412"/>
    </row>
    <row r="429" spans="2:7" ht="12.75">
      <c r="B429" s="412"/>
      <c r="C429" s="412"/>
      <c r="D429" s="412"/>
      <c r="E429" s="412"/>
      <c r="F429" s="412"/>
      <c r="G429" s="412"/>
    </row>
    <row r="430" spans="2:7" ht="12.75">
      <c r="B430" s="412"/>
      <c r="C430" s="412"/>
      <c r="D430" s="412"/>
      <c r="E430" s="412"/>
      <c r="F430" s="412"/>
      <c r="G430" s="412"/>
    </row>
    <row r="431" spans="2:7" ht="12.75">
      <c r="B431" s="412"/>
      <c r="C431" s="412"/>
      <c r="D431" s="412"/>
      <c r="E431" s="412"/>
      <c r="F431" s="412"/>
      <c r="G431" s="412"/>
    </row>
    <row r="432" spans="2:7" ht="12.75">
      <c r="B432" s="412"/>
      <c r="C432" s="412"/>
      <c r="D432" s="412"/>
      <c r="E432" s="412"/>
      <c r="F432" s="412"/>
      <c r="G432" s="412"/>
    </row>
    <row r="433" spans="2:7" ht="12.75">
      <c r="B433" s="412"/>
      <c r="C433" s="412"/>
      <c r="D433" s="412"/>
      <c r="E433" s="412"/>
      <c r="F433" s="412"/>
      <c r="G433" s="412"/>
    </row>
    <row r="434" spans="2:7" ht="12.75">
      <c r="B434" s="412"/>
      <c r="C434" s="412"/>
      <c r="D434" s="412"/>
      <c r="E434" s="412"/>
      <c r="F434" s="412"/>
      <c r="G434" s="412"/>
    </row>
    <row r="435" spans="2:7" ht="12.75">
      <c r="B435" s="412"/>
      <c r="C435" s="412"/>
      <c r="D435" s="412"/>
      <c r="E435" s="412"/>
      <c r="F435" s="412"/>
      <c r="G435" s="412"/>
    </row>
    <row r="436" spans="2:7" ht="12.75">
      <c r="B436" s="412"/>
      <c r="C436" s="412"/>
      <c r="D436" s="412"/>
      <c r="E436" s="412"/>
      <c r="F436" s="412"/>
      <c r="G436" s="412"/>
    </row>
    <row r="437" spans="2:7" ht="12.75">
      <c r="B437" s="412"/>
      <c r="C437" s="412"/>
      <c r="D437" s="412"/>
      <c r="E437" s="412"/>
      <c r="F437" s="412"/>
      <c r="G437" s="412"/>
    </row>
    <row r="438" spans="2:7" ht="12.75">
      <c r="B438" s="412"/>
      <c r="C438" s="412"/>
      <c r="D438" s="412"/>
      <c r="E438" s="412"/>
      <c r="F438" s="412"/>
      <c r="G438" s="412"/>
    </row>
    <row r="439" spans="2:7" ht="12.75">
      <c r="B439" s="412"/>
      <c r="C439" s="412"/>
      <c r="D439" s="412"/>
      <c r="E439" s="412"/>
      <c r="F439" s="412"/>
      <c r="G439" s="412"/>
    </row>
    <row r="440" spans="2:7" ht="12.75">
      <c r="B440" s="412"/>
      <c r="C440" s="412"/>
      <c r="D440" s="412"/>
      <c r="E440" s="412"/>
      <c r="F440" s="412"/>
      <c r="G440" s="412"/>
    </row>
    <row r="441" spans="2:7" ht="12.75">
      <c r="B441" s="412"/>
      <c r="C441" s="412"/>
      <c r="D441" s="412"/>
      <c r="E441" s="412"/>
      <c r="F441" s="412"/>
      <c r="G441" s="412"/>
    </row>
    <row r="442" spans="2:7" ht="12.75">
      <c r="B442" s="412"/>
      <c r="C442" s="412"/>
      <c r="D442" s="412"/>
      <c r="E442" s="412"/>
      <c r="F442" s="412"/>
      <c r="G442" s="412"/>
    </row>
    <row r="443" spans="2:7" ht="12.75">
      <c r="B443" s="412"/>
      <c r="C443" s="412"/>
      <c r="D443" s="412"/>
      <c r="E443" s="412"/>
      <c r="F443" s="412"/>
      <c r="G443" s="412"/>
    </row>
    <row r="444" spans="2:7" ht="12.75">
      <c r="B444" s="412"/>
      <c r="C444" s="412"/>
      <c r="D444" s="412"/>
      <c r="E444" s="412"/>
      <c r="F444" s="412"/>
      <c r="G444" s="412"/>
    </row>
    <row r="445" spans="2:7" ht="12.75">
      <c r="B445" s="412"/>
      <c r="C445" s="412"/>
      <c r="D445" s="412"/>
      <c r="E445" s="412"/>
      <c r="F445" s="412"/>
      <c r="G445" s="412"/>
    </row>
    <row r="446" spans="2:7" ht="12.75">
      <c r="B446" s="412"/>
      <c r="C446" s="412"/>
      <c r="D446" s="412"/>
      <c r="E446" s="412"/>
      <c r="F446" s="412"/>
      <c r="G446" s="412"/>
    </row>
    <row r="447" spans="2:7" ht="12.75">
      <c r="B447" s="412"/>
      <c r="C447" s="412"/>
      <c r="D447" s="412"/>
      <c r="E447" s="412"/>
      <c r="F447" s="412"/>
      <c r="G447" s="412"/>
    </row>
    <row r="448" spans="2:7" ht="12.75">
      <c r="B448" s="412"/>
      <c r="C448" s="412"/>
      <c r="D448" s="412"/>
      <c r="E448" s="412"/>
      <c r="F448" s="412"/>
      <c r="G448" s="412"/>
    </row>
    <row r="449" spans="2:7" ht="12.75">
      <c r="B449" s="412"/>
      <c r="C449" s="412"/>
      <c r="D449" s="412"/>
      <c r="E449" s="412"/>
      <c r="F449" s="412"/>
      <c r="G449" s="412"/>
    </row>
    <row r="450" spans="2:7" ht="12.75">
      <c r="B450" s="412"/>
      <c r="C450" s="412"/>
      <c r="D450" s="412"/>
      <c r="E450" s="412"/>
      <c r="F450" s="412"/>
      <c r="G450" s="412"/>
    </row>
    <row r="451" spans="2:7" ht="12.75">
      <c r="B451" s="412"/>
      <c r="C451" s="412"/>
      <c r="D451" s="412"/>
      <c r="E451" s="412"/>
      <c r="F451" s="412"/>
      <c r="G451" s="412"/>
    </row>
    <row r="452" spans="2:7" ht="12.75">
      <c r="B452" s="412"/>
      <c r="C452" s="412"/>
      <c r="D452" s="412"/>
      <c r="E452" s="412"/>
      <c r="F452" s="412"/>
      <c r="G452" s="412"/>
    </row>
    <row r="453" spans="2:7" ht="12.75">
      <c r="B453" s="412"/>
      <c r="C453" s="412"/>
      <c r="D453" s="412"/>
      <c r="E453" s="412"/>
      <c r="F453" s="412"/>
      <c r="G453" s="412"/>
    </row>
    <row r="454" spans="2:7" ht="12.75">
      <c r="B454" s="412"/>
      <c r="C454" s="412"/>
      <c r="D454" s="412"/>
      <c r="E454" s="412"/>
      <c r="F454" s="412"/>
      <c r="G454" s="412"/>
    </row>
    <row r="455" spans="2:7" ht="12.75">
      <c r="B455" s="412"/>
      <c r="C455" s="412"/>
      <c r="D455" s="412"/>
      <c r="E455" s="412"/>
      <c r="F455" s="412"/>
      <c r="G455" s="412"/>
    </row>
    <row r="456" spans="2:7" ht="12.75">
      <c r="B456" s="412"/>
      <c r="C456" s="412"/>
      <c r="D456" s="412"/>
      <c r="E456" s="412"/>
      <c r="F456" s="412"/>
      <c r="G456" s="412"/>
    </row>
    <row r="457" spans="2:7" ht="12.75">
      <c r="B457" s="412"/>
      <c r="C457" s="412"/>
      <c r="D457" s="412"/>
      <c r="E457" s="412"/>
      <c r="F457" s="412"/>
      <c r="G457" s="412"/>
    </row>
    <row r="458" spans="2:7" ht="12.75">
      <c r="B458" s="412"/>
      <c r="C458" s="412"/>
      <c r="D458" s="412"/>
      <c r="E458" s="412"/>
      <c r="F458" s="412"/>
      <c r="G458" s="412"/>
    </row>
    <row r="459" spans="2:7" ht="12.75">
      <c r="B459" s="412"/>
      <c r="C459" s="412"/>
      <c r="D459" s="412"/>
      <c r="E459" s="412"/>
      <c r="F459" s="412"/>
      <c r="G459" s="412"/>
    </row>
    <row r="460" spans="2:7" ht="12.75">
      <c r="B460" s="412"/>
      <c r="C460" s="412"/>
      <c r="D460" s="412"/>
      <c r="E460" s="412"/>
      <c r="F460" s="412"/>
      <c r="G460" s="412"/>
    </row>
    <row r="461" spans="2:7" ht="12.75">
      <c r="B461" s="412"/>
      <c r="C461" s="412"/>
      <c r="D461" s="412"/>
      <c r="E461" s="412"/>
      <c r="F461" s="412"/>
      <c r="G461" s="412"/>
    </row>
    <row r="462" spans="2:7" ht="12.75">
      <c r="B462" s="412"/>
      <c r="C462" s="412"/>
      <c r="D462" s="412"/>
      <c r="E462" s="412"/>
      <c r="F462" s="412"/>
      <c r="G462" s="412"/>
    </row>
    <row r="463" spans="2:7" ht="12.75">
      <c r="B463" s="412"/>
      <c r="C463" s="412"/>
      <c r="D463" s="412"/>
      <c r="E463" s="412"/>
      <c r="F463" s="412"/>
      <c r="G463" s="412"/>
    </row>
    <row r="464" spans="2:7" ht="12.75">
      <c r="B464" s="412"/>
      <c r="C464" s="412"/>
      <c r="D464" s="412"/>
      <c r="E464" s="412"/>
      <c r="F464" s="412"/>
      <c r="G464" s="412"/>
    </row>
    <row r="465" spans="2:7" ht="12.75">
      <c r="B465" s="412"/>
      <c r="C465" s="412"/>
      <c r="D465" s="412"/>
      <c r="E465" s="412"/>
      <c r="F465" s="412"/>
      <c r="G465" s="412"/>
    </row>
    <row r="466" spans="2:7" ht="12.75">
      <c r="B466" s="412"/>
      <c r="C466" s="412"/>
      <c r="D466" s="412"/>
      <c r="E466" s="412"/>
      <c r="F466" s="412"/>
      <c r="G466" s="412"/>
    </row>
    <row r="467" spans="2:7" ht="12.75">
      <c r="B467" s="412"/>
      <c r="C467" s="412"/>
      <c r="D467" s="412"/>
      <c r="E467" s="412"/>
      <c r="F467" s="412"/>
      <c r="G467" s="412"/>
    </row>
    <row r="468" spans="2:7" ht="12.75">
      <c r="B468" s="412"/>
      <c r="C468" s="412"/>
      <c r="D468" s="412"/>
      <c r="E468" s="412"/>
      <c r="F468" s="412"/>
      <c r="G468" s="412"/>
    </row>
    <row r="469" spans="2:7" ht="12.75">
      <c r="B469" s="412"/>
      <c r="C469" s="412"/>
      <c r="D469" s="412"/>
      <c r="E469" s="412"/>
      <c r="F469" s="412"/>
      <c r="G469" s="412"/>
    </row>
    <row r="470" spans="2:7" ht="12.75">
      <c r="B470" s="412"/>
      <c r="C470" s="412"/>
      <c r="D470" s="412"/>
      <c r="E470" s="412"/>
      <c r="F470" s="412"/>
      <c r="G470" s="412"/>
    </row>
    <row r="471" spans="2:7" ht="12.75">
      <c r="B471" s="412"/>
      <c r="C471" s="412"/>
      <c r="D471" s="412"/>
      <c r="E471" s="412"/>
      <c r="F471" s="412"/>
      <c r="G471" s="412"/>
    </row>
    <row r="472" spans="2:7" ht="12.75">
      <c r="B472" s="412"/>
      <c r="C472" s="412"/>
      <c r="D472" s="412"/>
      <c r="E472" s="412"/>
      <c r="F472" s="412"/>
      <c r="G472" s="412"/>
    </row>
    <row r="473" spans="2:7" ht="12.75">
      <c r="B473" s="412"/>
      <c r="C473" s="412"/>
      <c r="D473" s="412"/>
      <c r="E473" s="412"/>
      <c r="F473" s="412"/>
      <c r="G473" s="412"/>
    </row>
    <row r="474" spans="2:7" ht="12.75">
      <c r="B474" s="412"/>
      <c r="C474" s="412"/>
      <c r="D474" s="412"/>
      <c r="E474" s="412"/>
      <c r="F474" s="412"/>
      <c r="G474" s="412"/>
    </row>
    <row r="475" spans="2:7" ht="12.75">
      <c r="B475" s="412"/>
      <c r="C475" s="412"/>
      <c r="D475" s="412"/>
      <c r="E475" s="412"/>
      <c r="F475" s="412"/>
      <c r="G475" s="412"/>
    </row>
    <row r="476" spans="2:7" ht="12.75">
      <c r="B476" s="412"/>
      <c r="C476" s="412"/>
      <c r="D476" s="412"/>
      <c r="E476" s="412"/>
      <c r="F476" s="412"/>
      <c r="G476" s="412"/>
    </row>
    <row r="477" spans="2:7" ht="12.75">
      <c r="B477" s="412"/>
      <c r="C477" s="412"/>
      <c r="D477" s="412"/>
      <c r="E477" s="412"/>
      <c r="F477" s="412"/>
      <c r="G477" s="412"/>
    </row>
    <row r="478" spans="2:7" ht="12.75">
      <c r="B478" s="412"/>
      <c r="C478" s="412"/>
      <c r="D478" s="412"/>
      <c r="E478" s="412"/>
      <c r="F478" s="412"/>
      <c r="G478" s="412"/>
    </row>
    <row r="479" spans="2:7" ht="12.75">
      <c r="B479" s="412"/>
      <c r="C479" s="412"/>
      <c r="D479" s="412"/>
      <c r="E479" s="412"/>
      <c r="F479" s="412"/>
      <c r="G479" s="412"/>
    </row>
    <row r="480" spans="2:7" ht="12.75">
      <c r="B480" s="412"/>
      <c r="C480" s="412"/>
      <c r="D480" s="412"/>
      <c r="E480" s="412"/>
      <c r="F480" s="412"/>
      <c r="G480" s="412"/>
    </row>
    <row r="481" spans="2:7" ht="12.75">
      <c r="B481" s="412"/>
      <c r="C481" s="412"/>
      <c r="D481" s="412"/>
      <c r="E481" s="412"/>
      <c r="F481" s="412"/>
      <c r="G481" s="412"/>
    </row>
    <row r="482" spans="2:7" ht="12.75">
      <c r="B482" s="412"/>
      <c r="C482" s="412"/>
      <c r="D482" s="412"/>
      <c r="E482" s="412"/>
      <c r="F482" s="412"/>
      <c r="G482" s="412"/>
    </row>
    <row r="483" spans="2:7" ht="12.75">
      <c r="B483" s="412"/>
      <c r="C483" s="412"/>
      <c r="D483" s="412"/>
      <c r="E483" s="412"/>
      <c r="F483" s="412"/>
      <c r="G483" s="412"/>
    </row>
    <row r="484" spans="2:7" ht="12.75">
      <c r="B484" s="412"/>
      <c r="C484" s="412"/>
      <c r="D484" s="412"/>
      <c r="E484" s="412"/>
      <c r="F484" s="412"/>
      <c r="G484" s="412"/>
    </row>
    <row r="485" spans="2:7" ht="12.75">
      <c r="B485" s="412"/>
      <c r="C485" s="412"/>
      <c r="D485" s="412"/>
      <c r="E485" s="412"/>
      <c r="F485" s="412"/>
      <c r="G485" s="412"/>
    </row>
    <row r="486" spans="2:7" ht="12.75">
      <c r="B486" s="412"/>
      <c r="C486" s="412"/>
      <c r="D486" s="412"/>
      <c r="E486" s="412"/>
      <c r="F486" s="412"/>
      <c r="G486" s="412"/>
    </row>
    <row r="487" spans="2:7" ht="12.75">
      <c r="B487" s="412"/>
      <c r="C487" s="412"/>
      <c r="D487" s="412"/>
      <c r="E487" s="412"/>
      <c r="F487" s="412"/>
      <c r="G487" s="412"/>
    </row>
    <row r="488" spans="2:7" ht="12.75">
      <c r="B488" s="412"/>
      <c r="C488" s="412"/>
      <c r="D488" s="412"/>
      <c r="E488" s="412"/>
      <c r="F488" s="412"/>
      <c r="G488" s="412"/>
    </row>
    <row r="489" spans="2:7" ht="12.75">
      <c r="B489" s="412"/>
      <c r="C489" s="412"/>
      <c r="D489" s="412"/>
      <c r="E489" s="412"/>
      <c r="F489" s="412"/>
      <c r="G489" s="412"/>
    </row>
    <row r="490" spans="2:7" ht="12.75">
      <c r="B490" s="412"/>
      <c r="C490" s="412"/>
      <c r="D490" s="412"/>
      <c r="E490" s="412"/>
      <c r="F490" s="412"/>
      <c r="G490" s="412"/>
    </row>
    <row r="491" spans="2:7" ht="12.75">
      <c r="B491" s="412"/>
      <c r="C491" s="412"/>
      <c r="D491" s="412"/>
      <c r="E491" s="412"/>
      <c r="F491" s="412"/>
      <c r="G491" s="412"/>
    </row>
    <row r="492" spans="2:7" ht="12.75">
      <c r="B492" s="412"/>
      <c r="C492" s="412"/>
      <c r="D492" s="412"/>
      <c r="E492" s="412"/>
      <c r="F492" s="412"/>
      <c r="G492" s="412"/>
    </row>
    <row r="493" spans="2:7" ht="12.75">
      <c r="B493" s="412"/>
      <c r="C493" s="412"/>
      <c r="D493" s="412"/>
      <c r="E493" s="412"/>
      <c r="F493" s="412"/>
      <c r="G493" s="412"/>
    </row>
    <row r="494" spans="2:7" ht="12.75">
      <c r="B494" s="412"/>
      <c r="C494" s="412"/>
      <c r="D494" s="412"/>
      <c r="E494" s="412"/>
      <c r="F494" s="412"/>
      <c r="G494" s="412"/>
    </row>
    <row r="495" spans="2:7" ht="12.75">
      <c r="B495" s="412"/>
      <c r="C495" s="412"/>
      <c r="D495" s="412"/>
      <c r="E495" s="412"/>
      <c r="F495" s="412"/>
      <c r="G495" s="412"/>
    </row>
    <row r="496" spans="2:7" ht="12.75">
      <c r="B496" s="412"/>
      <c r="C496" s="412"/>
      <c r="D496" s="412"/>
      <c r="E496" s="412"/>
      <c r="F496" s="412"/>
      <c r="G496" s="412"/>
    </row>
    <row r="497" spans="2:7" ht="12.75">
      <c r="B497" s="412"/>
      <c r="C497" s="412"/>
      <c r="D497" s="412"/>
      <c r="E497" s="412"/>
      <c r="F497" s="412"/>
      <c r="G497" s="412"/>
    </row>
    <row r="498" spans="2:7" ht="12.75">
      <c r="B498" s="412"/>
      <c r="C498" s="412"/>
      <c r="D498" s="412"/>
      <c r="E498" s="412"/>
      <c r="F498" s="412"/>
      <c r="G498" s="412"/>
    </row>
    <row r="499" spans="2:7" ht="12.75">
      <c r="B499" s="412"/>
      <c r="C499" s="412"/>
      <c r="D499" s="412"/>
      <c r="E499" s="412"/>
      <c r="F499" s="412"/>
      <c r="G499" s="412"/>
    </row>
    <row r="500" spans="2:7" ht="12.75">
      <c r="B500" s="412"/>
      <c r="C500" s="412"/>
      <c r="D500" s="412"/>
      <c r="E500" s="412"/>
      <c r="F500" s="412"/>
      <c r="G500" s="412"/>
    </row>
    <row r="501" spans="2:7" ht="12.75">
      <c r="B501" s="412"/>
      <c r="C501" s="412"/>
      <c r="D501" s="412"/>
      <c r="E501" s="412"/>
      <c r="F501" s="412"/>
      <c r="G501" s="412"/>
    </row>
    <row r="502" spans="2:7" ht="12.75">
      <c r="B502" s="412"/>
      <c r="C502" s="412"/>
      <c r="D502" s="412"/>
      <c r="E502" s="412"/>
      <c r="F502" s="412"/>
      <c r="G502" s="412"/>
    </row>
    <row r="503" spans="2:7" ht="12.75">
      <c r="B503" s="412"/>
      <c r="C503" s="412"/>
      <c r="D503" s="412"/>
      <c r="E503" s="412"/>
      <c r="F503" s="412"/>
      <c r="G503" s="412"/>
    </row>
    <row r="504" spans="2:7" ht="12.75">
      <c r="B504" s="412"/>
      <c r="C504" s="412"/>
      <c r="D504" s="412"/>
      <c r="E504" s="412"/>
      <c r="F504" s="412"/>
      <c r="G504" s="412"/>
    </row>
    <row r="505" spans="2:7" ht="12.75">
      <c r="B505" s="412"/>
      <c r="C505" s="412"/>
      <c r="D505" s="412"/>
      <c r="E505" s="412"/>
      <c r="F505" s="412"/>
      <c r="G505" s="412"/>
    </row>
    <row r="506" spans="2:7" ht="12.75">
      <c r="B506" s="412"/>
      <c r="C506" s="412"/>
      <c r="D506" s="412"/>
      <c r="E506" s="412"/>
      <c r="F506" s="412"/>
      <c r="G506" s="412"/>
    </row>
    <row r="507" spans="2:7" ht="12.75">
      <c r="B507" s="412"/>
      <c r="C507" s="412"/>
      <c r="D507" s="412"/>
      <c r="E507" s="412"/>
      <c r="F507" s="412"/>
      <c r="G507" s="412"/>
    </row>
    <row r="508" spans="2:7" ht="12.75">
      <c r="B508" s="412"/>
      <c r="C508" s="412"/>
      <c r="D508" s="412"/>
      <c r="E508" s="412"/>
      <c r="F508" s="412"/>
      <c r="G508" s="412"/>
    </row>
    <row r="509" spans="2:7" ht="12.75">
      <c r="B509" s="412"/>
      <c r="C509" s="412"/>
      <c r="D509" s="412"/>
      <c r="E509" s="412"/>
      <c r="F509" s="412"/>
      <c r="G509" s="412"/>
    </row>
    <row r="510" spans="2:7" ht="12.75">
      <c r="B510" s="412"/>
      <c r="C510" s="412"/>
      <c r="D510" s="412"/>
      <c r="E510" s="412"/>
      <c r="F510" s="412"/>
      <c r="G510" s="412"/>
    </row>
    <row r="511" spans="2:7" ht="12.75">
      <c r="B511" s="412"/>
      <c r="C511" s="412"/>
      <c r="D511" s="412"/>
      <c r="E511" s="412"/>
      <c r="F511" s="412"/>
      <c r="G511" s="412"/>
    </row>
    <row r="512" spans="2:7" ht="12.75">
      <c r="B512" s="412"/>
      <c r="C512" s="412"/>
      <c r="D512" s="412"/>
      <c r="E512" s="412"/>
      <c r="F512" s="412"/>
      <c r="G512" s="412"/>
    </row>
    <row r="513" spans="2:7" ht="12.75">
      <c r="B513" s="412"/>
      <c r="C513" s="412"/>
      <c r="D513" s="412"/>
      <c r="E513" s="412"/>
      <c r="F513" s="412"/>
      <c r="G513" s="412"/>
    </row>
    <row r="514" spans="2:7" ht="12.75">
      <c r="B514" s="412"/>
      <c r="C514" s="412"/>
      <c r="D514" s="412"/>
      <c r="E514" s="412"/>
      <c r="F514" s="412"/>
      <c r="G514" s="412"/>
    </row>
    <row r="515" spans="2:7" ht="12.75">
      <c r="B515" s="412"/>
      <c r="C515" s="412"/>
      <c r="D515" s="412"/>
      <c r="E515" s="412"/>
      <c r="F515" s="412"/>
      <c r="G515" s="412"/>
    </row>
    <row r="516" spans="2:7" ht="12.75">
      <c r="B516" s="412"/>
      <c r="C516" s="412"/>
      <c r="D516" s="412"/>
      <c r="E516" s="412"/>
      <c r="F516" s="412"/>
      <c r="G516" s="412"/>
    </row>
    <row r="517" spans="2:7" ht="12.75">
      <c r="B517" s="412"/>
      <c r="C517" s="412"/>
      <c r="D517" s="412"/>
      <c r="E517" s="412"/>
      <c r="F517" s="412"/>
      <c r="G517" s="412"/>
    </row>
    <row r="518" spans="2:7" ht="12.75">
      <c r="B518" s="412"/>
      <c r="C518" s="412"/>
      <c r="D518" s="412"/>
      <c r="E518" s="412"/>
      <c r="F518" s="412"/>
      <c r="G518" s="412"/>
    </row>
    <row r="519" spans="2:7" ht="12.75">
      <c r="B519" s="412"/>
      <c r="C519" s="412"/>
      <c r="D519" s="412"/>
      <c r="E519" s="412"/>
      <c r="F519" s="412"/>
      <c r="G519" s="412"/>
    </row>
    <row r="520" spans="2:7" ht="12.75">
      <c r="B520" s="412"/>
      <c r="C520" s="412"/>
      <c r="D520" s="412"/>
      <c r="E520" s="412"/>
      <c r="F520" s="412"/>
      <c r="G520" s="412"/>
    </row>
    <row r="521" spans="2:7" ht="12.75">
      <c r="B521" s="412"/>
      <c r="C521" s="412"/>
      <c r="D521" s="412"/>
      <c r="E521" s="412"/>
      <c r="F521" s="412"/>
      <c r="G521" s="412"/>
    </row>
    <row r="522" spans="2:7" ht="12.75">
      <c r="B522" s="412"/>
      <c r="C522" s="412"/>
      <c r="D522" s="412"/>
      <c r="E522" s="412"/>
      <c r="F522" s="412"/>
      <c r="G522" s="412"/>
    </row>
    <row r="523" spans="2:7" ht="12.75">
      <c r="B523" s="412"/>
      <c r="C523" s="412"/>
      <c r="D523" s="412"/>
      <c r="E523" s="412"/>
      <c r="F523" s="412"/>
      <c r="G523" s="412"/>
    </row>
    <row r="524" spans="2:7" ht="12.75">
      <c r="B524" s="412"/>
      <c r="C524" s="412"/>
      <c r="D524" s="412"/>
      <c r="E524" s="412"/>
      <c r="F524" s="412"/>
      <c r="G524" s="412"/>
    </row>
    <row r="525" spans="2:7" ht="12.75">
      <c r="B525" s="412"/>
      <c r="C525" s="412"/>
      <c r="D525" s="412"/>
      <c r="E525" s="412"/>
      <c r="F525" s="412"/>
      <c r="G525" s="412"/>
    </row>
    <row r="526" spans="2:7" ht="12.75">
      <c r="B526" s="412"/>
      <c r="C526" s="412"/>
      <c r="D526" s="412"/>
      <c r="E526" s="412"/>
      <c r="F526" s="412"/>
      <c r="G526" s="412"/>
    </row>
    <row r="527" spans="2:7" ht="12.75">
      <c r="B527" s="412"/>
      <c r="C527" s="412"/>
      <c r="D527" s="412"/>
      <c r="E527" s="412"/>
      <c r="F527" s="412"/>
      <c r="G527" s="412"/>
    </row>
    <row r="528" spans="2:7" ht="12.75">
      <c r="B528" s="412"/>
      <c r="C528" s="412"/>
      <c r="D528" s="412"/>
      <c r="E528" s="412"/>
      <c r="F528" s="412"/>
      <c r="G528" s="412"/>
    </row>
    <row r="529" spans="2:7" ht="12.75">
      <c r="B529" s="412"/>
      <c r="C529" s="412"/>
      <c r="D529" s="412"/>
      <c r="E529" s="412"/>
      <c r="F529" s="412"/>
      <c r="G529" s="412"/>
    </row>
    <row r="530" spans="2:7" ht="12.75">
      <c r="B530" s="412"/>
      <c r="C530" s="412"/>
      <c r="D530" s="412"/>
      <c r="E530" s="412"/>
      <c r="F530" s="412"/>
      <c r="G530" s="412"/>
    </row>
    <row r="531" spans="2:7" ht="12.75">
      <c r="B531" s="412"/>
      <c r="C531" s="412"/>
      <c r="D531" s="412"/>
      <c r="E531" s="412"/>
      <c r="F531" s="412"/>
      <c r="G531" s="412"/>
    </row>
    <row r="532" spans="2:7" ht="12.75">
      <c r="B532" s="412"/>
      <c r="C532" s="412"/>
      <c r="D532" s="412"/>
      <c r="E532" s="412"/>
      <c r="F532" s="412"/>
      <c r="G532" s="412"/>
    </row>
    <row r="533" spans="2:7" ht="12.75">
      <c r="B533" s="412"/>
      <c r="C533" s="412"/>
      <c r="D533" s="412"/>
      <c r="E533" s="412"/>
      <c r="F533" s="412"/>
      <c r="G533" s="412"/>
    </row>
    <row r="534" spans="2:7" ht="12.75">
      <c r="B534" s="412"/>
      <c r="C534" s="412"/>
      <c r="D534" s="412"/>
      <c r="E534" s="412"/>
      <c r="F534" s="412"/>
      <c r="G534" s="412"/>
    </row>
    <row r="535" spans="2:7" ht="12.75">
      <c r="B535" s="412"/>
      <c r="C535" s="412"/>
      <c r="D535" s="412"/>
      <c r="E535" s="412"/>
      <c r="F535" s="412"/>
      <c r="G535" s="412"/>
    </row>
    <row r="536" spans="2:7" ht="12.75">
      <c r="B536" s="412"/>
      <c r="C536" s="412"/>
      <c r="D536" s="412"/>
      <c r="E536" s="412"/>
      <c r="F536" s="412"/>
      <c r="G536" s="412"/>
    </row>
    <row r="537" spans="2:7" ht="12.75">
      <c r="B537" s="412"/>
      <c r="C537" s="412"/>
      <c r="D537" s="412"/>
      <c r="E537" s="412"/>
      <c r="F537" s="412"/>
      <c r="G537" s="412"/>
    </row>
    <row r="538" spans="2:7" ht="12.75">
      <c r="B538" s="412"/>
      <c r="C538" s="412"/>
      <c r="D538" s="412"/>
      <c r="E538" s="412"/>
      <c r="F538" s="412"/>
      <c r="G538" s="412"/>
    </row>
    <row r="539" spans="2:7" ht="12.75">
      <c r="B539" s="412"/>
      <c r="C539" s="412"/>
      <c r="D539" s="412"/>
      <c r="E539" s="412"/>
      <c r="F539" s="412"/>
      <c r="G539" s="412"/>
    </row>
    <row r="540" spans="2:7" ht="12.75">
      <c r="B540" s="412"/>
      <c r="C540" s="412"/>
      <c r="D540" s="412"/>
      <c r="E540" s="412"/>
      <c r="F540" s="412"/>
      <c r="G540" s="412"/>
    </row>
    <row r="541" spans="2:7" ht="12.75">
      <c r="B541" s="412"/>
      <c r="C541" s="412"/>
      <c r="D541" s="412"/>
      <c r="E541" s="412"/>
      <c r="F541" s="412"/>
      <c r="G541" s="412"/>
    </row>
    <row r="542" spans="2:7" ht="12.75">
      <c r="B542" s="412"/>
      <c r="C542" s="412"/>
      <c r="D542" s="412"/>
      <c r="E542" s="412"/>
      <c r="F542" s="412"/>
      <c r="G542" s="412"/>
    </row>
    <row r="543" spans="2:7" ht="12.75">
      <c r="B543" s="412"/>
      <c r="C543" s="412"/>
      <c r="D543" s="412"/>
      <c r="E543" s="412"/>
      <c r="F543" s="412"/>
      <c r="G543" s="412"/>
    </row>
    <row r="544" spans="2:7" ht="12.75">
      <c r="B544" s="412"/>
      <c r="C544" s="412"/>
      <c r="D544" s="412"/>
      <c r="E544" s="412"/>
      <c r="F544" s="412"/>
      <c r="G544" s="412"/>
    </row>
    <row r="545" spans="2:7" ht="12.75">
      <c r="B545" s="412"/>
      <c r="C545" s="412"/>
      <c r="D545" s="412"/>
      <c r="E545" s="412"/>
      <c r="F545" s="412"/>
      <c r="G545" s="412"/>
    </row>
    <row r="546" spans="2:7" ht="12.75">
      <c r="B546" s="412"/>
      <c r="C546" s="412"/>
      <c r="D546" s="412"/>
      <c r="E546" s="412"/>
      <c r="F546" s="412"/>
      <c r="G546" s="412"/>
    </row>
    <row r="547" spans="2:7" ht="12.75">
      <c r="B547" s="412"/>
      <c r="C547" s="412"/>
      <c r="D547" s="412"/>
      <c r="E547" s="412"/>
      <c r="F547" s="412"/>
      <c r="G547" s="412"/>
    </row>
    <row r="548" spans="2:7" ht="12.75">
      <c r="B548" s="412"/>
      <c r="C548" s="412"/>
      <c r="D548" s="412"/>
      <c r="E548" s="412"/>
      <c r="F548" s="412"/>
      <c r="G548" s="412"/>
    </row>
    <row r="549" spans="2:7" ht="12.75">
      <c r="B549" s="412"/>
      <c r="C549" s="412"/>
      <c r="D549" s="412"/>
      <c r="E549" s="412"/>
      <c r="F549" s="412"/>
      <c r="G549" s="412"/>
    </row>
    <row r="550" spans="2:7" ht="12.75">
      <c r="B550" s="412"/>
      <c r="C550" s="412"/>
      <c r="D550" s="412"/>
      <c r="E550" s="412"/>
      <c r="F550" s="412"/>
      <c r="G550" s="412"/>
    </row>
    <row r="551" spans="2:7" ht="12.75">
      <c r="B551" s="412"/>
      <c r="C551" s="412"/>
      <c r="D551" s="412"/>
      <c r="E551" s="412"/>
      <c r="F551" s="412"/>
      <c r="G551" s="412"/>
    </row>
    <row r="552" spans="2:7" ht="12.75">
      <c r="B552" s="412"/>
      <c r="C552" s="412"/>
      <c r="D552" s="412"/>
      <c r="E552" s="412"/>
      <c r="F552" s="412"/>
      <c r="G552" s="412"/>
    </row>
    <row r="553" spans="2:7" ht="12.75">
      <c r="B553" s="412"/>
      <c r="C553" s="412"/>
      <c r="D553" s="412"/>
      <c r="E553" s="412"/>
      <c r="F553" s="412"/>
      <c r="G553" s="412"/>
    </row>
    <row r="554" spans="2:7" ht="12.75">
      <c r="B554" s="412"/>
      <c r="C554" s="412"/>
      <c r="D554" s="412"/>
      <c r="E554" s="412"/>
      <c r="F554" s="412"/>
      <c r="G554" s="412"/>
    </row>
    <row r="555" spans="2:7" ht="12.75">
      <c r="B555" s="412"/>
      <c r="C555" s="412"/>
      <c r="D555" s="412"/>
      <c r="E555" s="412"/>
      <c r="F555" s="412"/>
      <c r="G555" s="412"/>
    </row>
    <row r="556" spans="2:7" ht="12.75">
      <c r="B556" s="412"/>
      <c r="C556" s="412"/>
      <c r="D556" s="412"/>
      <c r="E556" s="412"/>
      <c r="F556" s="412"/>
      <c r="G556" s="412"/>
    </row>
    <row r="557" spans="2:7" ht="12.75">
      <c r="B557" s="412"/>
      <c r="C557" s="412"/>
      <c r="D557" s="412"/>
      <c r="E557" s="412"/>
      <c r="F557" s="412"/>
      <c r="G557" s="412"/>
    </row>
    <row r="558" spans="2:7" ht="12.75">
      <c r="B558" s="412"/>
      <c r="C558" s="412"/>
      <c r="D558" s="412"/>
      <c r="E558" s="412"/>
      <c r="F558" s="412"/>
      <c r="G558" s="412"/>
    </row>
    <row r="559" spans="2:7" ht="12.75">
      <c r="B559" s="412"/>
      <c r="C559" s="412"/>
      <c r="D559" s="412"/>
      <c r="E559" s="412"/>
      <c r="F559" s="412"/>
      <c r="G559" s="412"/>
    </row>
    <row r="560" spans="2:7" ht="12.75">
      <c r="B560" s="412"/>
      <c r="C560" s="412"/>
      <c r="D560" s="412"/>
      <c r="E560" s="412"/>
      <c r="F560" s="412"/>
      <c r="G560" s="412"/>
    </row>
    <row r="561" spans="2:7" ht="12.75">
      <c r="B561" s="412"/>
      <c r="C561" s="412"/>
      <c r="D561" s="412"/>
      <c r="E561" s="412"/>
      <c r="F561" s="412"/>
      <c r="G561" s="412"/>
    </row>
    <row r="562" spans="2:7" ht="12.75">
      <c r="B562" s="412"/>
      <c r="C562" s="412"/>
      <c r="D562" s="412"/>
      <c r="E562" s="412"/>
      <c r="F562" s="412"/>
      <c r="G562" s="412"/>
    </row>
    <row r="563" spans="2:7" ht="12.75">
      <c r="B563" s="412"/>
      <c r="C563" s="412"/>
      <c r="D563" s="412"/>
      <c r="E563" s="412"/>
      <c r="F563" s="412"/>
      <c r="G563" s="412"/>
    </row>
    <row r="564" spans="2:7" ht="12.75">
      <c r="B564" s="412"/>
      <c r="C564" s="412"/>
      <c r="D564" s="412"/>
      <c r="E564" s="412"/>
      <c r="F564" s="412"/>
      <c r="G564" s="412"/>
    </row>
    <row r="565" spans="2:7" ht="12.75">
      <c r="B565" s="412"/>
      <c r="C565" s="412"/>
      <c r="D565" s="412"/>
      <c r="E565" s="412"/>
      <c r="F565" s="412"/>
      <c r="G565" s="412"/>
    </row>
    <row r="566" spans="2:7" ht="12.75">
      <c r="B566" s="412"/>
      <c r="C566" s="412"/>
      <c r="D566" s="412"/>
      <c r="E566" s="412"/>
      <c r="F566" s="412"/>
      <c r="G566" s="412"/>
    </row>
    <row r="567" spans="2:7" ht="12.75">
      <c r="B567" s="412"/>
      <c r="C567" s="412"/>
      <c r="D567" s="412"/>
      <c r="E567" s="412"/>
      <c r="F567" s="412"/>
      <c r="G567" s="412"/>
    </row>
    <row r="568" spans="2:7" ht="12.75">
      <c r="B568" s="412"/>
      <c r="C568" s="412"/>
      <c r="D568" s="412"/>
      <c r="E568" s="412"/>
      <c r="F568" s="412"/>
      <c r="G568" s="412"/>
    </row>
    <row r="569" spans="2:7" ht="12.75">
      <c r="B569" s="412"/>
      <c r="C569" s="412"/>
      <c r="D569" s="412"/>
      <c r="E569" s="412"/>
      <c r="F569" s="412"/>
      <c r="G569" s="412"/>
    </row>
    <row r="570" spans="2:7" ht="12.75">
      <c r="B570" s="412"/>
      <c r="C570" s="412"/>
      <c r="D570" s="412"/>
      <c r="E570" s="412"/>
      <c r="F570" s="412"/>
      <c r="G570" s="412"/>
    </row>
    <row r="571" spans="2:7" ht="12.75">
      <c r="B571" s="412"/>
      <c r="C571" s="412"/>
      <c r="D571" s="412"/>
      <c r="E571" s="412"/>
      <c r="F571" s="412"/>
      <c r="G571" s="412"/>
    </row>
    <row r="572" spans="2:7" ht="12.75">
      <c r="B572" s="412"/>
      <c r="C572" s="412"/>
      <c r="D572" s="412"/>
      <c r="E572" s="412"/>
      <c r="F572" s="412"/>
      <c r="G572" s="412"/>
    </row>
    <row r="573" spans="2:7" ht="12.75">
      <c r="B573" s="412"/>
      <c r="C573" s="412"/>
      <c r="D573" s="412"/>
      <c r="E573" s="412"/>
      <c r="F573" s="412"/>
      <c r="G573" s="412"/>
    </row>
    <row r="574" spans="2:7" ht="12.75">
      <c r="B574" s="412"/>
      <c r="C574" s="412"/>
      <c r="D574" s="412"/>
      <c r="E574" s="412"/>
      <c r="F574" s="412"/>
      <c r="G574" s="412"/>
    </row>
    <row r="575" spans="2:7" ht="12.75">
      <c r="B575" s="412"/>
      <c r="C575" s="412"/>
      <c r="D575" s="412"/>
      <c r="E575" s="412"/>
      <c r="F575" s="412"/>
      <c r="G575" s="412"/>
    </row>
    <row r="576" spans="2:7" ht="12.75">
      <c r="B576" s="412"/>
      <c r="C576" s="412"/>
      <c r="D576" s="412"/>
      <c r="E576" s="412"/>
      <c r="F576" s="412"/>
      <c r="G576" s="412"/>
    </row>
    <row r="577" spans="2:7" ht="12.75">
      <c r="B577" s="412"/>
      <c r="C577" s="412"/>
      <c r="D577" s="412"/>
      <c r="E577" s="412"/>
      <c r="F577" s="412"/>
      <c r="G577" s="412"/>
    </row>
    <row r="578" spans="2:7" ht="12.75">
      <c r="B578" s="412"/>
      <c r="C578" s="412"/>
      <c r="D578" s="412"/>
      <c r="E578" s="412"/>
      <c r="F578" s="412"/>
      <c r="G578" s="412"/>
    </row>
    <row r="579" spans="2:7" ht="12.75">
      <c r="B579" s="412"/>
      <c r="C579" s="412"/>
      <c r="D579" s="412"/>
      <c r="E579" s="412"/>
      <c r="F579" s="412"/>
      <c r="G579" s="412"/>
    </row>
    <row r="580" spans="2:7" ht="12.75">
      <c r="B580" s="412"/>
      <c r="C580" s="412"/>
      <c r="D580" s="412"/>
      <c r="E580" s="412"/>
      <c r="F580" s="412"/>
      <c r="G580" s="412"/>
    </row>
    <row r="581" spans="2:7" ht="12.75">
      <c r="B581" s="412"/>
      <c r="C581" s="412"/>
      <c r="D581" s="412"/>
      <c r="E581" s="412"/>
      <c r="F581" s="412"/>
      <c r="G581" s="412"/>
    </row>
    <row r="582" spans="2:7" ht="12.75">
      <c r="B582" s="412"/>
      <c r="C582" s="412"/>
      <c r="D582" s="412"/>
      <c r="E582" s="412"/>
      <c r="F582" s="412"/>
      <c r="G582" s="412"/>
    </row>
    <row r="583" spans="2:7" ht="12.75">
      <c r="B583" s="412"/>
      <c r="C583" s="412"/>
      <c r="D583" s="412"/>
      <c r="E583" s="412"/>
      <c r="F583" s="412"/>
      <c r="G583" s="412"/>
    </row>
    <row r="584" spans="2:7" ht="12.75">
      <c r="B584" s="412"/>
      <c r="C584" s="412"/>
      <c r="D584" s="412"/>
      <c r="E584" s="412"/>
      <c r="F584" s="412"/>
      <c r="G584" s="412"/>
    </row>
    <row r="585" spans="2:7" ht="12.75">
      <c r="B585" s="412"/>
      <c r="C585" s="412"/>
      <c r="D585" s="412"/>
      <c r="E585" s="412"/>
      <c r="F585" s="412"/>
      <c r="G585" s="412"/>
    </row>
    <row r="586" spans="2:7" ht="12.75">
      <c r="B586" s="412"/>
      <c r="C586" s="412"/>
      <c r="D586" s="412"/>
      <c r="E586" s="412"/>
      <c r="F586" s="412"/>
      <c r="G586" s="412"/>
    </row>
    <row r="587" spans="2:7" ht="12.75">
      <c r="B587" s="412"/>
      <c r="C587" s="412"/>
      <c r="D587" s="412"/>
      <c r="E587" s="412"/>
      <c r="F587" s="412"/>
      <c r="G587" s="412"/>
    </row>
    <row r="588" spans="2:7" ht="12.75">
      <c r="B588" s="412"/>
      <c r="C588" s="412"/>
      <c r="D588" s="412"/>
      <c r="E588" s="412"/>
      <c r="F588" s="412"/>
      <c r="G588" s="412"/>
    </row>
    <row r="589" spans="2:7" ht="12.75">
      <c r="B589" s="412"/>
      <c r="C589" s="412"/>
      <c r="D589" s="412"/>
      <c r="E589" s="412"/>
      <c r="F589" s="412"/>
      <c r="G589" s="412"/>
    </row>
    <row r="590" spans="2:7" ht="12.75">
      <c r="B590" s="412"/>
      <c r="C590" s="412"/>
      <c r="D590" s="412"/>
      <c r="E590" s="412"/>
      <c r="F590" s="412"/>
      <c r="G590" s="412"/>
    </row>
    <row r="591" spans="2:7" ht="12.75">
      <c r="B591" s="412"/>
      <c r="C591" s="412"/>
      <c r="D591" s="412"/>
      <c r="E591" s="412"/>
      <c r="F591" s="412"/>
      <c r="G591" s="412"/>
    </row>
    <row r="592" spans="2:7" ht="12.75">
      <c r="B592" s="412"/>
      <c r="C592" s="412"/>
      <c r="D592" s="412"/>
      <c r="E592" s="412"/>
      <c r="F592" s="412"/>
      <c r="G592" s="412"/>
    </row>
    <row r="593" spans="2:7" ht="12.75">
      <c r="B593" s="412"/>
      <c r="C593" s="412"/>
      <c r="D593" s="412"/>
      <c r="E593" s="412"/>
      <c r="F593" s="412"/>
      <c r="G593" s="412"/>
    </row>
    <row r="594" spans="2:7" ht="12.75">
      <c r="B594" s="412"/>
      <c r="C594" s="412"/>
      <c r="D594" s="412"/>
      <c r="E594" s="412"/>
      <c r="F594" s="412"/>
      <c r="G594" s="412"/>
    </row>
    <row r="595" spans="2:7" ht="12.75">
      <c r="B595" s="412"/>
      <c r="C595" s="412"/>
      <c r="D595" s="412"/>
      <c r="E595" s="412"/>
      <c r="F595" s="412"/>
      <c r="G595" s="412"/>
    </row>
    <row r="596" spans="2:7" ht="12.75">
      <c r="B596" s="412"/>
      <c r="C596" s="412"/>
      <c r="D596" s="412"/>
      <c r="E596" s="412"/>
      <c r="F596" s="412"/>
      <c r="G596" s="412"/>
    </row>
    <row r="597" spans="2:7" ht="12.75">
      <c r="B597" s="412"/>
      <c r="C597" s="412"/>
      <c r="D597" s="412"/>
      <c r="E597" s="412"/>
      <c r="F597" s="412"/>
      <c r="G597" s="412"/>
    </row>
    <row r="598" spans="2:7" ht="12.75">
      <c r="B598" s="412"/>
      <c r="C598" s="412"/>
      <c r="D598" s="412"/>
      <c r="E598" s="412"/>
      <c r="F598" s="412"/>
      <c r="G598" s="412"/>
    </row>
    <row r="599" spans="2:7" ht="12.75">
      <c r="B599" s="412"/>
      <c r="C599" s="412"/>
      <c r="D599" s="412"/>
      <c r="E599" s="412"/>
      <c r="F599" s="412"/>
      <c r="G599" s="412"/>
    </row>
    <row r="600" spans="2:7" ht="12.75">
      <c r="B600" s="412"/>
      <c r="C600" s="412"/>
      <c r="D600" s="412"/>
      <c r="E600" s="412"/>
      <c r="F600" s="412"/>
      <c r="G600" s="412"/>
    </row>
    <row r="601" spans="2:7" ht="12.75">
      <c r="B601" s="412"/>
      <c r="C601" s="412"/>
      <c r="D601" s="412"/>
      <c r="E601" s="412"/>
      <c r="F601" s="412"/>
      <c r="G601" s="412"/>
    </row>
    <row r="602" spans="2:7" ht="12.75">
      <c r="B602" s="412"/>
      <c r="C602" s="412"/>
      <c r="D602" s="412"/>
      <c r="E602" s="412"/>
      <c r="F602" s="412"/>
      <c r="G602" s="412"/>
    </row>
    <row r="603" spans="2:7" ht="12.75">
      <c r="B603" s="412"/>
      <c r="C603" s="412"/>
      <c r="D603" s="412"/>
      <c r="E603" s="412"/>
      <c r="F603" s="412"/>
      <c r="G603" s="412"/>
    </row>
    <row r="604" spans="2:7" ht="12.75">
      <c r="B604" s="412"/>
      <c r="C604" s="412"/>
      <c r="D604" s="412"/>
      <c r="E604" s="412"/>
      <c r="F604" s="412"/>
      <c r="G604" s="412"/>
    </row>
    <row r="605" spans="2:7" ht="12.75">
      <c r="B605" s="412"/>
      <c r="C605" s="412"/>
      <c r="D605" s="412"/>
      <c r="E605" s="412"/>
      <c r="F605" s="412"/>
      <c r="G605" s="412"/>
    </row>
    <row r="606" spans="2:7" ht="12.75">
      <c r="B606" s="412"/>
      <c r="C606" s="412"/>
      <c r="D606" s="412"/>
      <c r="E606" s="412"/>
      <c r="F606" s="412"/>
      <c r="G606" s="412"/>
    </row>
    <row r="607" spans="2:7" ht="12.75">
      <c r="B607" s="412"/>
      <c r="C607" s="412"/>
      <c r="D607" s="412"/>
      <c r="E607" s="412"/>
      <c r="F607" s="412"/>
      <c r="G607" s="412"/>
    </row>
    <row r="608" spans="2:7" ht="12.75">
      <c r="B608" s="412"/>
      <c r="C608" s="412"/>
      <c r="D608" s="412"/>
      <c r="E608" s="412"/>
      <c r="F608" s="412"/>
      <c r="G608" s="412"/>
    </row>
    <row r="609" spans="2:7" ht="12.75">
      <c r="B609" s="412"/>
      <c r="C609" s="412"/>
      <c r="D609" s="412"/>
      <c r="E609" s="412"/>
      <c r="F609" s="412"/>
      <c r="G609" s="412"/>
    </row>
    <row r="610" spans="2:7" ht="12.75">
      <c r="B610" s="412"/>
      <c r="C610" s="412"/>
      <c r="D610" s="412"/>
      <c r="E610" s="412"/>
      <c r="F610" s="412"/>
      <c r="G610" s="412"/>
    </row>
    <row r="611" spans="2:7" ht="12.75">
      <c r="B611" s="412"/>
      <c r="C611" s="412"/>
      <c r="D611" s="412"/>
      <c r="E611" s="412"/>
      <c r="F611" s="412"/>
      <c r="G611" s="412"/>
    </row>
    <row r="612" spans="2:7" ht="12.75">
      <c r="B612" s="412"/>
      <c r="C612" s="412"/>
      <c r="D612" s="412"/>
      <c r="E612" s="412"/>
      <c r="F612" s="412"/>
      <c r="G612" s="412"/>
    </row>
    <row r="613" spans="2:7" ht="12.75">
      <c r="B613" s="412"/>
      <c r="C613" s="412"/>
      <c r="D613" s="412"/>
      <c r="E613" s="412"/>
      <c r="F613" s="412"/>
      <c r="G613" s="412"/>
    </row>
    <row r="614" spans="2:7" ht="12.75">
      <c r="B614" s="412"/>
      <c r="C614" s="412"/>
      <c r="D614" s="412"/>
      <c r="E614" s="412"/>
      <c r="F614" s="412"/>
      <c r="G614" s="412"/>
    </row>
    <row r="615" spans="2:7" ht="12.75">
      <c r="B615" s="412"/>
      <c r="C615" s="412"/>
      <c r="D615" s="412"/>
      <c r="E615" s="412"/>
      <c r="F615" s="412"/>
      <c r="G615" s="412"/>
    </row>
    <row r="616" spans="2:7" ht="12.75">
      <c r="B616" s="412"/>
      <c r="C616" s="412"/>
      <c r="D616" s="412"/>
      <c r="E616" s="412"/>
      <c r="F616" s="412"/>
      <c r="G616" s="412"/>
    </row>
    <row r="617" spans="2:7" ht="12.75">
      <c r="B617" s="412"/>
      <c r="C617" s="412"/>
      <c r="D617" s="412"/>
      <c r="E617" s="412"/>
      <c r="F617" s="412"/>
      <c r="G617" s="412"/>
    </row>
    <row r="618" spans="2:7" ht="12.75">
      <c r="B618" s="412"/>
      <c r="C618" s="412"/>
      <c r="D618" s="412"/>
      <c r="E618" s="412"/>
      <c r="F618" s="412"/>
      <c r="G618" s="412"/>
    </row>
    <row r="619" spans="2:7" ht="12.75">
      <c r="B619" s="412"/>
      <c r="C619" s="412"/>
      <c r="D619" s="412"/>
      <c r="E619" s="412"/>
      <c r="F619" s="412"/>
      <c r="G619" s="412"/>
    </row>
    <row r="620" spans="2:7" ht="12.75">
      <c r="B620" s="412"/>
      <c r="C620" s="412"/>
      <c r="D620" s="412"/>
      <c r="E620" s="412"/>
      <c r="F620" s="412"/>
      <c r="G620" s="412"/>
    </row>
    <row r="621" spans="2:7" ht="12.75">
      <c r="B621" s="412"/>
      <c r="C621" s="412"/>
      <c r="D621" s="412"/>
      <c r="E621" s="412"/>
      <c r="F621" s="412"/>
      <c r="G621" s="412"/>
    </row>
    <row r="622" spans="2:7" ht="12.75">
      <c r="B622" s="412"/>
      <c r="C622" s="412"/>
      <c r="D622" s="412"/>
      <c r="E622" s="412"/>
      <c r="F622" s="412"/>
      <c r="G622" s="412"/>
    </row>
    <row r="623" spans="2:7" ht="12.75">
      <c r="B623" s="412"/>
      <c r="C623" s="412"/>
      <c r="D623" s="412"/>
      <c r="E623" s="412"/>
      <c r="F623" s="412"/>
      <c r="G623" s="412"/>
    </row>
    <row r="624" spans="2:7" ht="12.75">
      <c r="B624" s="412"/>
      <c r="C624" s="412"/>
      <c r="D624" s="412"/>
      <c r="E624" s="412"/>
      <c r="F624" s="412"/>
      <c r="G624" s="412"/>
    </row>
    <row r="625" spans="2:7" ht="12.75">
      <c r="B625" s="412"/>
      <c r="C625" s="412"/>
      <c r="D625" s="412"/>
      <c r="E625" s="412"/>
      <c r="F625" s="412"/>
      <c r="G625" s="412"/>
    </row>
    <row r="626" spans="2:7" ht="12.75">
      <c r="B626" s="412"/>
      <c r="C626" s="412"/>
      <c r="D626" s="412"/>
      <c r="E626" s="412"/>
      <c r="F626" s="412"/>
      <c r="G626" s="412"/>
    </row>
    <row r="627" spans="2:7" ht="12.75">
      <c r="B627" s="412"/>
      <c r="C627" s="412"/>
      <c r="D627" s="412"/>
      <c r="E627" s="412"/>
      <c r="F627" s="412"/>
      <c r="G627" s="412"/>
    </row>
    <row r="628" spans="2:7" ht="12.75">
      <c r="B628" s="412"/>
      <c r="C628" s="412"/>
      <c r="D628" s="412"/>
      <c r="E628" s="412"/>
      <c r="F628" s="412"/>
      <c r="G628" s="412"/>
    </row>
    <row r="629" spans="2:7" ht="12.75">
      <c r="B629" s="412"/>
      <c r="C629" s="412"/>
      <c r="D629" s="412"/>
      <c r="E629" s="412"/>
      <c r="F629" s="412"/>
      <c r="G629" s="412"/>
    </row>
    <row r="630" spans="2:7" ht="12.75">
      <c r="B630" s="412"/>
      <c r="C630" s="412"/>
      <c r="D630" s="412"/>
      <c r="E630" s="412"/>
      <c r="F630" s="412"/>
      <c r="G630" s="412"/>
    </row>
    <row r="631" spans="2:7" ht="12.75">
      <c r="B631" s="412"/>
      <c r="C631" s="412"/>
      <c r="D631" s="412"/>
      <c r="E631" s="412"/>
      <c r="F631" s="412"/>
      <c r="G631" s="412"/>
    </row>
    <row r="632" spans="2:7" ht="12.75">
      <c r="B632" s="412"/>
      <c r="C632" s="412"/>
      <c r="D632" s="412"/>
      <c r="E632" s="412"/>
      <c r="F632" s="412"/>
      <c r="G632" s="412"/>
    </row>
    <row r="633" spans="2:7" ht="12.75">
      <c r="B633" s="412"/>
      <c r="C633" s="412"/>
      <c r="D633" s="412"/>
      <c r="E633" s="412"/>
      <c r="F633" s="412"/>
      <c r="G633" s="412"/>
    </row>
    <row r="634" spans="2:7" ht="12.75">
      <c r="B634" s="412"/>
      <c r="C634" s="412"/>
      <c r="D634" s="412"/>
      <c r="E634" s="412"/>
      <c r="F634" s="412"/>
      <c r="G634" s="412"/>
    </row>
    <row r="635" spans="2:7" ht="12.75">
      <c r="B635" s="412"/>
      <c r="C635" s="412"/>
      <c r="D635" s="412"/>
      <c r="E635" s="412"/>
      <c r="F635" s="412"/>
      <c r="G635" s="412"/>
    </row>
    <row r="636" spans="2:7" ht="12.75">
      <c r="B636" s="412"/>
      <c r="C636" s="412"/>
      <c r="D636" s="412"/>
      <c r="E636" s="412"/>
      <c r="F636" s="412"/>
      <c r="G636" s="412"/>
    </row>
    <row r="637" spans="2:7" ht="12.75">
      <c r="B637" s="412"/>
      <c r="C637" s="412"/>
      <c r="D637" s="412"/>
      <c r="E637" s="412"/>
      <c r="F637" s="412"/>
      <c r="G637" s="412"/>
    </row>
    <row r="638" spans="2:7" ht="12.75">
      <c r="B638" s="412"/>
      <c r="C638" s="412"/>
      <c r="D638" s="412"/>
      <c r="E638" s="412"/>
      <c r="F638" s="412"/>
      <c r="G638" s="412"/>
    </row>
    <row r="639" spans="2:7" ht="12.75">
      <c r="B639" s="412"/>
      <c r="C639" s="412"/>
      <c r="D639" s="412"/>
      <c r="E639" s="412"/>
      <c r="F639" s="412"/>
      <c r="G639" s="412"/>
    </row>
    <row r="640" spans="2:7" ht="12.75">
      <c r="B640" s="412"/>
      <c r="C640" s="412"/>
      <c r="D640" s="412"/>
      <c r="E640" s="412"/>
      <c r="F640" s="412"/>
      <c r="G640" s="412"/>
    </row>
    <row r="641" spans="2:7" ht="12.75">
      <c r="B641" s="412"/>
      <c r="C641" s="412"/>
      <c r="D641" s="412"/>
      <c r="E641" s="412"/>
      <c r="F641" s="412"/>
      <c r="G641" s="412"/>
    </row>
    <row r="642" spans="2:7" ht="12.75">
      <c r="B642" s="412"/>
      <c r="C642" s="412"/>
      <c r="D642" s="412"/>
      <c r="E642" s="412"/>
      <c r="F642" s="412"/>
      <c r="G642" s="412"/>
    </row>
    <row r="643" spans="2:7" ht="12.75">
      <c r="B643" s="412"/>
      <c r="C643" s="412"/>
      <c r="D643" s="412"/>
      <c r="E643" s="412"/>
      <c r="F643" s="412"/>
      <c r="G643" s="412"/>
    </row>
    <row r="644" spans="2:7" ht="12.75">
      <c r="B644" s="412"/>
      <c r="C644" s="412"/>
      <c r="D644" s="412"/>
      <c r="E644" s="412"/>
      <c r="F644" s="412"/>
      <c r="G644" s="412"/>
    </row>
    <row r="645" spans="2:7" ht="12.75">
      <c r="B645" s="412"/>
      <c r="C645" s="412"/>
      <c r="D645" s="412"/>
      <c r="E645" s="412"/>
      <c r="F645" s="412"/>
      <c r="G645" s="412"/>
    </row>
    <row r="646" spans="2:7" ht="12.75">
      <c r="B646" s="412"/>
      <c r="C646" s="412"/>
      <c r="D646" s="412"/>
      <c r="E646" s="412"/>
      <c r="F646" s="412"/>
      <c r="G646" s="412"/>
    </row>
    <row r="647" spans="2:7" ht="12.75">
      <c r="B647" s="412"/>
      <c r="C647" s="412"/>
      <c r="D647" s="412"/>
      <c r="E647" s="412"/>
      <c r="F647" s="412"/>
      <c r="G647" s="412"/>
    </row>
    <row r="648" spans="2:7" ht="12.75">
      <c r="B648" s="412"/>
      <c r="C648" s="412"/>
      <c r="D648" s="412"/>
      <c r="E648" s="412"/>
      <c r="F648" s="412"/>
      <c r="G648" s="412"/>
    </row>
    <row r="649" spans="2:7" ht="12.75">
      <c r="B649" s="412"/>
      <c r="C649" s="412"/>
      <c r="D649" s="412"/>
      <c r="E649" s="412"/>
      <c r="F649" s="412"/>
      <c r="G649" s="412"/>
    </row>
    <row r="650" spans="2:7" ht="12.75">
      <c r="B650" s="412"/>
      <c r="C650" s="412"/>
      <c r="D650" s="412"/>
      <c r="E650" s="412"/>
      <c r="F650" s="412"/>
      <c r="G650" s="412"/>
    </row>
    <row r="651" spans="2:7" ht="12.75">
      <c r="B651" s="412"/>
      <c r="C651" s="412"/>
      <c r="D651" s="412"/>
      <c r="E651" s="412"/>
      <c r="F651" s="412"/>
      <c r="G651" s="412"/>
    </row>
    <row r="652" spans="2:7" ht="12.75">
      <c r="B652" s="412"/>
      <c r="C652" s="412"/>
      <c r="D652" s="412"/>
      <c r="E652" s="412"/>
      <c r="F652" s="412"/>
      <c r="G652" s="412"/>
    </row>
    <row r="653" spans="2:7" ht="12.75">
      <c r="B653" s="412"/>
      <c r="C653" s="412"/>
      <c r="D653" s="412"/>
      <c r="E653" s="412"/>
      <c r="F653" s="412"/>
      <c r="G653" s="412"/>
    </row>
    <row r="654" spans="2:7" ht="12.75">
      <c r="B654" s="412"/>
      <c r="C654" s="412"/>
      <c r="D654" s="412"/>
      <c r="E654" s="412"/>
      <c r="F654" s="412"/>
      <c r="G654" s="412"/>
    </row>
    <row r="655" spans="2:7" ht="12.75">
      <c r="B655" s="412"/>
      <c r="C655" s="412"/>
      <c r="D655" s="412"/>
      <c r="E655" s="412"/>
      <c r="F655" s="412"/>
      <c r="G655" s="412"/>
    </row>
    <row r="656" spans="2:7" ht="12.75">
      <c r="B656" s="412"/>
      <c r="C656" s="412"/>
      <c r="D656" s="412"/>
      <c r="E656" s="412"/>
      <c r="F656" s="412"/>
      <c r="G656" s="412"/>
    </row>
    <row r="657" spans="2:7" ht="12.75">
      <c r="B657" s="412"/>
      <c r="C657" s="412"/>
      <c r="D657" s="412"/>
      <c r="E657" s="412"/>
      <c r="F657" s="412"/>
      <c r="G657" s="412"/>
    </row>
    <row r="658" spans="2:7" ht="12.75">
      <c r="B658" s="412"/>
      <c r="C658" s="412"/>
      <c r="D658" s="412"/>
      <c r="E658" s="412"/>
      <c r="F658" s="412"/>
      <c r="G658" s="412"/>
    </row>
    <row r="659" spans="2:7" ht="12.75">
      <c r="B659" s="412"/>
      <c r="C659" s="412"/>
      <c r="D659" s="412"/>
      <c r="E659" s="412"/>
      <c r="F659" s="412"/>
      <c r="G659" s="412"/>
    </row>
    <row r="660" spans="2:7" ht="12.75">
      <c r="B660" s="412"/>
      <c r="C660" s="412"/>
      <c r="D660" s="412"/>
      <c r="E660" s="412"/>
      <c r="F660" s="412"/>
      <c r="G660" s="412"/>
    </row>
    <row r="661" spans="2:7" ht="12.75">
      <c r="B661" s="412"/>
      <c r="C661" s="412"/>
      <c r="D661" s="412"/>
      <c r="E661" s="412"/>
      <c r="F661" s="412"/>
      <c r="G661" s="412"/>
    </row>
    <row r="662" spans="2:7" ht="12.75">
      <c r="B662" s="412"/>
      <c r="C662" s="412"/>
      <c r="D662" s="412"/>
      <c r="E662" s="412"/>
      <c r="F662" s="412"/>
      <c r="G662" s="412"/>
    </row>
    <row r="663" spans="2:7" ht="12.75">
      <c r="B663" s="412"/>
      <c r="C663" s="412"/>
      <c r="D663" s="412"/>
      <c r="E663" s="412"/>
      <c r="F663" s="412"/>
      <c r="G663" s="412"/>
    </row>
    <row r="664" spans="2:7" ht="12.75">
      <c r="B664" s="412"/>
      <c r="C664" s="412"/>
      <c r="D664" s="412"/>
      <c r="E664" s="412"/>
      <c r="F664" s="412"/>
      <c r="G664" s="412"/>
    </row>
    <row r="665" spans="2:7" ht="12.75">
      <c r="B665" s="412"/>
      <c r="C665" s="412"/>
      <c r="D665" s="412"/>
      <c r="E665" s="412"/>
      <c r="F665" s="412"/>
      <c r="G665" s="412"/>
    </row>
    <row r="666" spans="2:7" ht="12.75">
      <c r="B666" s="412"/>
      <c r="C666" s="412"/>
      <c r="D666" s="412"/>
      <c r="E666" s="412"/>
      <c r="F666" s="412"/>
      <c r="G666" s="412"/>
    </row>
    <row r="667" spans="2:7" ht="12.75">
      <c r="B667" s="412"/>
      <c r="C667" s="412"/>
      <c r="D667" s="412"/>
      <c r="E667" s="412"/>
      <c r="F667" s="412"/>
      <c r="G667" s="412"/>
    </row>
    <row r="668" spans="2:7" ht="12.75">
      <c r="B668" s="412"/>
      <c r="C668" s="412"/>
      <c r="D668" s="412"/>
      <c r="E668" s="412"/>
      <c r="F668" s="412"/>
      <c r="G668" s="412"/>
    </row>
    <row r="669" spans="2:7" ht="12.75">
      <c r="B669" s="412"/>
      <c r="C669" s="412"/>
      <c r="D669" s="412"/>
      <c r="E669" s="412"/>
      <c r="F669" s="412"/>
      <c r="G669" s="412"/>
    </row>
    <row r="670" spans="2:7" ht="12.75">
      <c r="B670" s="412"/>
      <c r="C670" s="412"/>
      <c r="D670" s="412"/>
      <c r="E670" s="412"/>
      <c r="F670" s="412"/>
      <c r="G670" s="412"/>
    </row>
    <row r="671" spans="2:7" ht="12.75">
      <c r="B671" s="412"/>
      <c r="C671" s="412"/>
      <c r="D671" s="412"/>
      <c r="E671" s="412"/>
      <c r="F671" s="412"/>
      <c r="G671" s="412"/>
    </row>
    <row r="672" spans="2:7" ht="12.75">
      <c r="B672" s="412"/>
      <c r="C672" s="412"/>
      <c r="D672" s="412"/>
      <c r="E672" s="412"/>
      <c r="F672" s="412"/>
      <c r="G672" s="412"/>
    </row>
    <row r="673" spans="2:7" ht="12.75">
      <c r="B673" s="412"/>
      <c r="C673" s="412"/>
      <c r="D673" s="412"/>
      <c r="E673" s="412"/>
      <c r="F673" s="412"/>
      <c r="G673" s="412"/>
    </row>
    <row r="674" spans="2:7" ht="12.75">
      <c r="B674" s="412"/>
      <c r="C674" s="412"/>
      <c r="D674" s="412"/>
      <c r="E674" s="412"/>
      <c r="F674" s="412"/>
      <c r="G674" s="412"/>
    </row>
    <row r="675" spans="2:7" ht="12.75">
      <c r="B675" s="412"/>
      <c r="C675" s="412"/>
      <c r="D675" s="412"/>
      <c r="E675" s="412"/>
      <c r="F675" s="412"/>
      <c r="G675" s="412"/>
    </row>
    <row r="676" spans="2:7" ht="12.75">
      <c r="B676" s="412"/>
      <c r="C676" s="412"/>
      <c r="D676" s="412"/>
      <c r="E676" s="412"/>
      <c r="F676" s="412"/>
      <c r="G676" s="412"/>
    </row>
    <row r="677" spans="2:7" ht="12.75">
      <c r="B677" s="412"/>
      <c r="C677" s="412"/>
      <c r="D677" s="412"/>
      <c r="E677" s="412"/>
      <c r="F677" s="412"/>
      <c r="G677" s="412"/>
    </row>
    <row r="678" spans="2:7" ht="12.75">
      <c r="B678" s="412"/>
      <c r="C678" s="412"/>
      <c r="D678" s="412"/>
      <c r="E678" s="412"/>
      <c r="F678" s="412"/>
      <c r="G678" s="412"/>
    </row>
    <row r="679" spans="2:7" ht="12.75">
      <c r="B679" s="412"/>
      <c r="C679" s="412"/>
      <c r="D679" s="412"/>
      <c r="E679" s="412"/>
      <c r="F679" s="412"/>
      <c r="G679" s="412"/>
    </row>
    <row r="680" spans="2:7" ht="12.75">
      <c r="B680" s="412"/>
      <c r="C680" s="412"/>
      <c r="D680" s="412"/>
      <c r="E680" s="412"/>
      <c r="F680" s="412"/>
      <c r="G680" s="412"/>
    </row>
    <row r="681" spans="2:7" ht="12.75">
      <c r="B681" s="412"/>
      <c r="C681" s="412"/>
      <c r="D681" s="412"/>
      <c r="E681" s="412"/>
      <c r="F681" s="412"/>
      <c r="G681" s="412"/>
    </row>
    <row r="682" spans="2:7" ht="12.75">
      <c r="B682" s="412"/>
      <c r="C682" s="412"/>
      <c r="D682" s="412"/>
      <c r="E682" s="412"/>
      <c r="F682" s="412"/>
      <c r="G682" s="412"/>
    </row>
    <row r="683" spans="2:7" ht="12.75">
      <c r="B683" s="412"/>
      <c r="C683" s="412"/>
      <c r="D683" s="412"/>
      <c r="E683" s="412"/>
      <c r="F683" s="412"/>
      <c r="G683" s="412"/>
    </row>
    <row r="684" spans="2:7" ht="12.75">
      <c r="B684" s="412"/>
      <c r="C684" s="412"/>
      <c r="D684" s="412"/>
      <c r="E684" s="412"/>
      <c r="F684" s="412"/>
      <c r="G684" s="412"/>
    </row>
    <row r="685" spans="2:7" ht="12.75">
      <c r="B685" s="412"/>
      <c r="C685" s="412"/>
      <c r="D685" s="412"/>
      <c r="E685" s="412"/>
      <c r="F685" s="412"/>
      <c r="G685" s="412"/>
    </row>
    <row r="686" spans="2:7" ht="12.75">
      <c r="B686" s="412"/>
      <c r="C686" s="412"/>
      <c r="D686" s="412"/>
      <c r="E686" s="412"/>
      <c r="F686" s="412"/>
      <c r="G686" s="412"/>
    </row>
    <row r="687" spans="2:7" ht="12.75">
      <c r="B687" s="412"/>
      <c r="C687" s="412"/>
      <c r="D687" s="412"/>
      <c r="E687" s="412"/>
      <c r="F687" s="412"/>
      <c r="G687" s="412"/>
    </row>
    <row r="688" spans="2:7" ht="12.75">
      <c r="B688" s="412"/>
      <c r="C688" s="412"/>
      <c r="D688" s="412"/>
      <c r="E688" s="412"/>
      <c r="F688" s="412"/>
      <c r="G688" s="412"/>
    </row>
    <row r="689" spans="2:7" ht="12.75">
      <c r="B689" s="412"/>
      <c r="C689" s="412"/>
      <c r="D689" s="412"/>
      <c r="E689" s="412"/>
      <c r="F689" s="412"/>
      <c r="G689" s="412"/>
    </row>
    <row r="690" spans="2:7" ht="12.75">
      <c r="B690" s="412"/>
      <c r="C690" s="412"/>
      <c r="D690" s="412"/>
      <c r="E690" s="412"/>
      <c r="F690" s="412"/>
      <c r="G690" s="412"/>
    </row>
    <row r="691" spans="2:7" ht="12.75">
      <c r="B691" s="412"/>
      <c r="C691" s="412"/>
      <c r="D691" s="412"/>
      <c r="E691" s="412"/>
      <c r="F691" s="412"/>
      <c r="G691" s="412"/>
    </row>
    <row r="692" spans="2:7" ht="12.75">
      <c r="B692" s="412"/>
      <c r="C692" s="412"/>
      <c r="D692" s="412"/>
      <c r="E692" s="412"/>
      <c r="F692" s="412"/>
      <c r="G692" s="412"/>
    </row>
    <row r="693" spans="2:7" ht="12.75">
      <c r="B693" s="412"/>
      <c r="C693" s="412"/>
      <c r="D693" s="412"/>
      <c r="E693" s="412"/>
      <c r="F693" s="412"/>
      <c r="G693" s="412"/>
    </row>
    <row r="694" spans="2:7" ht="12.75">
      <c r="B694" s="412"/>
      <c r="C694" s="412"/>
      <c r="D694" s="412"/>
      <c r="E694" s="412"/>
      <c r="F694" s="412"/>
      <c r="G694" s="412"/>
    </row>
    <row r="695" spans="2:7" ht="12.75">
      <c r="B695" s="412"/>
      <c r="C695" s="412"/>
      <c r="D695" s="412"/>
      <c r="E695" s="412"/>
      <c r="F695" s="412"/>
      <c r="G695" s="412"/>
    </row>
    <row r="696" spans="2:7" ht="12.75">
      <c r="B696" s="412"/>
      <c r="C696" s="412"/>
      <c r="D696" s="412"/>
      <c r="E696" s="412"/>
      <c r="F696" s="412"/>
      <c r="G696" s="412"/>
    </row>
    <row r="697" spans="2:7" ht="12.75">
      <c r="B697" s="412"/>
      <c r="C697" s="412"/>
      <c r="D697" s="412"/>
      <c r="E697" s="412"/>
      <c r="F697" s="412"/>
      <c r="G697" s="412"/>
    </row>
    <row r="698" spans="2:7" ht="12.75">
      <c r="B698" s="412"/>
      <c r="C698" s="412"/>
      <c r="D698" s="412"/>
      <c r="E698" s="412"/>
      <c r="F698" s="412"/>
      <c r="G698" s="412"/>
    </row>
    <row r="699" spans="2:7" ht="12.75">
      <c r="B699" s="412"/>
      <c r="C699" s="412"/>
      <c r="D699" s="412"/>
      <c r="E699" s="412"/>
      <c r="F699" s="412"/>
      <c r="G699" s="412"/>
    </row>
    <row r="700" spans="2:7" ht="12.75">
      <c r="B700" s="412"/>
      <c r="C700" s="412"/>
      <c r="D700" s="412"/>
      <c r="E700" s="412"/>
      <c r="F700" s="412"/>
      <c r="G700" s="412"/>
    </row>
    <row r="701" spans="2:7" ht="12.75">
      <c r="B701" s="412"/>
      <c r="C701" s="412"/>
      <c r="D701" s="412"/>
      <c r="E701" s="412"/>
      <c r="F701" s="412"/>
      <c r="G701" s="412"/>
    </row>
    <row r="702" spans="2:7" ht="12.75">
      <c r="B702" s="412"/>
      <c r="C702" s="412"/>
      <c r="D702" s="412"/>
      <c r="E702" s="412"/>
      <c r="F702" s="412"/>
      <c r="G702" s="412"/>
    </row>
    <row r="703" spans="2:7" ht="12.75">
      <c r="B703" s="412"/>
      <c r="C703" s="412"/>
      <c r="D703" s="412"/>
      <c r="E703" s="412"/>
      <c r="F703" s="412"/>
      <c r="G703" s="412"/>
    </row>
    <row r="704" spans="2:7" ht="12.75">
      <c r="B704" s="412"/>
      <c r="C704" s="412"/>
      <c r="D704" s="412"/>
      <c r="E704" s="412"/>
      <c r="F704" s="412"/>
      <c r="G704" s="412"/>
    </row>
    <row r="705" spans="2:7" ht="12.75">
      <c r="B705" s="412"/>
      <c r="C705" s="412"/>
      <c r="D705" s="412"/>
      <c r="E705" s="412"/>
      <c r="F705" s="412"/>
      <c r="G705" s="412"/>
    </row>
    <row r="706" spans="2:7" ht="12.75">
      <c r="B706" s="412"/>
      <c r="C706" s="412"/>
      <c r="D706" s="412"/>
      <c r="E706" s="412"/>
      <c r="F706" s="412"/>
      <c r="G706" s="412"/>
    </row>
    <row r="707" spans="2:7" ht="12.75">
      <c r="B707" s="412"/>
      <c r="C707" s="412"/>
      <c r="D707" s="412"/>
      <c r="E707" s="412"/>
      <c r="F707" s="412"/>
      <c r="G707" s="412"/>
    </row>
    <row r="708" spans="2:7" ht="12.75">
      <c r="B708" s="412"/>
      <c r="C708" s="412"/>
      <c r="D708" s="412"/>
      <c r="E708" s="412"/>
      <c r="F708" s="412"/>
      <c r="G708" s="412"/>
    </row>
    <row r="709" spans="2:7" ht="12.75">
      <c r="B709" s="412"/>
      <c r="C709" s="412"/>
      <c r="D709" s="412"/>
      <c r="E709" s="412"/>
      <c r="F709" s="412"/>
      <c r="G709" s="412"/>
    </row>
    <row r="710" spans="2:7" ht="12.75">
      <c r="B710" s="412"/>
      <c r="C710" s="412"/>
      <c r="D710" s="412"/>
      <c r="E710" s="412"/>
      <c r="F710" s="412"/>
      <c r="G710" s="412"/>
    </row>
    <row r="711" spans="2:7" ht="12.75">
      <c r="B711" s="412"/>
      <c r="C711" s="412"/>
      <c r="D711" s="412"/>
      <c r="E711" s="412"/>
      <c r="F711" s="412"/>
      <c r="G711" s="412"/>
    </row>
    <row r="712" spans="2:7" ht="12.75">
      <c r="B712" s="412"/>
      <c r="C712" s="412"/>
      <c r="D712" s="412"/>
      <c r="E712" s="412"/>
      <c r="F712" s="412"/>
      <c r="G712" s="412"/>
    </row>
    <row r="713" spans="2:7" ht="12.75">
      <c r="B713" s="412"/>
      <c r="C713" s="412"/>
      <c r="D713" s="412"/>
      <c r="E713" s="412"/>
      <c r="F713" s="412"/>
      <c r="G713" s="412"/>
    </row>
    <row r="714" spans="2:7" ht="12.75">
      <c r="B714" s="412"/>
      <c r="C714" s="412"/>
      <c r="D714" s="412"/>
      <c r="E714" s="412"/>
      <c r="F714" s="412"/>
      <c r="G714" s="412"/>
    </row>
    <row r="715" spans="2:7" ht="12.75">
      <c r="B715" s="412"/>
      <c r="C715" s="412"/>
      <c r="D715" s="412"/>
      <c r="E715" s="412"/>
      <c r="F715" s="412"/>
      <c r="G715" s="412"/>
    </row>
    <row r="716" spans="2:7" ht="12.75">
      <c r="B716" s="412"/>
      <c r="C716" s="412"/>
      <c r="D716" s="412"/>
      <c r="E716" s="412"/>
      <c r="F716" s="412"/>
      <c r="G716" s="412"/>
    </row>
    <row r="717" spans="2:7" ht="12.75">
      <c r="B717" s="412"/>
      <c r="C717" s="412"/>
      <c r="D717" s="412"/>
      <c r="E717" s="412"/>
      <c r="F717" s="412"/>
      <c r="G717" s="412"/>
    </row>
    <row r="718" spans="2:7" ht="12.75">
      <c r="B718" s="412"/>
      <c r="C718" s="412"/>
      <c r="D718" s="412"/>
      <c r="E718" s="412"/>
      <c r="F718" s="412"/>
      <c r="G718" s="412"/>
    </row>
    <row r="719" spans="2:7" ht="12.75">
      <c r="B719" s="412"/>
      <c r="C719" s="412"/>
      <c r="D719" s="412"/>
      <c r="E719" s="412"/>
      <c r="F719" s="412"/>
      <c r="G719" s="412"/>
    </row>
    <row r="720" spans="2:7" ht="12.75">
      <c r="B720" s="412"/>
      <c r="C720" s="412"/>
      <c r="D720" s="412"/>
      <c r="E720" s="412"/>
      <c r="F720" s="412"/>
      <c r="G720" s="412"/>
    </row>
    <row r="721" spans="2:7" ht="12.75">
      <c r="B721" s="412"/>
      <c r="C721" s="412"/>
      <c r="D721" s="412"/>
      <c r="E721" s="412"/>
      <c r="F721" s="412"/>
      <c r="G721" s="412"/>
    </row>
    <row r="722" spans="2:7" ht="12.75">
      <c r="B722" s="412"/>
      <c r="C722" s="412"/>
      <c r="D722" s="412"/>
      <c r="E722" s="412"/>
      <c r="F722" s="412"/>
      <c r="G722" s="412"/>
    </row>
    <row r="723" spans="2:7" ht="12.75">
      <c r="B723" s="412"/>
      <c r="C723" s="412"/>
      <c r="D723" s="412"/>
      <c r="E723" s="412"/>
      <c r="F723" s="412"/>
      <c r="G723" s="412"/>
    </row>
    <row r="724" spans="2:7" ht="12.75">
      <c r="B724" s="412"/>
      <c r="C724" s="412"/>
      <c r="D724" s="412"/>
      <c r="E724" s="412"/>
      <c r="F724" s="412"/>
      <c r="G724" s="412"/>
    </row>
    <row r="725" spans="2:7" ht="12.75">
      <c r="B725" s="412"/>
      <c r="C725" s="412"/>
      <c r="D725" s="412"/>
      <c r="E725" s="412"/>
      <c r="F725" s="412"/>
      <c r="G725" s="412"/>
    </row>
    <row r="726" spans="2:7" ht="12.75">
      <c r="B726" s="412"/>
      <c r="C726" s="412"/>
      <c r="D726" s="412"/>
      <c r="E726" s="412"/>
      <c r="F726" s="412"/>
      <c r="G726" s="412"/>
    </row>
    <row r="727" spans="2:7" ht="12.75">
      <c r="B727" s="412"/>
      <c r="C727" s="412"/>
      <c r="D727" s="412"/>
      <c r="E727" s="412"/>
      <c r="F727" s="412"/>
      <c r="G727" s="412"/>
    </row>
    <row r="728" spans="2:7" ht="12.75">
      <c r="B728" s="412"/>
      <c r="C728" s="412"/>
      <c r="D728" s="412"/>
      <c r="E728" s="412"/>
      <c r="F728" s="412"/>
      <c r="G728" s="412"/>
    </row>
    <row r="729" spans="2:7" ht="12.75">
      <c r="B729" s="412"/>
      <c r="C729" s="412"/>
      <c r="D729" s="412"/>
      <c r="E729" s="412"/>
      <c r="F729" s="412"/>
      <c r="G729" s="412"/>
    </row>
    <row r="730" spans="2:7" ht="12.75">
      <c r="B730" s="412"/>
      <c r="C730" s="412"/>
      <c r="D730" s="412"/>
      <c r="E730" s="412"/>
      <c r="F730" s="412"/>
      <c r="G730" s="412"/>
    </row>
    <row r="731" spans="2:7" ht="12.75">
      <c r="B731" s="412"/>
      <c r="C731" s="412"/>
      <c r="D731" s="412"/>
      <c r="E731" s="412"/>
      <c r="F731" s="412"/>
      <c r="G731" s="412"/>
    </row>
    <row r="732" spans="2:7" ht="12.75">
      <c r="B732" s="412"/>
      <c r="C732" s="412"/>
      <c r="D732" s="412"/>
      <c r="E732" s="412"/>
      <c r="F732" s="412"/>
      <c r="G732" s="412"/>
    </row>
    <row r="733" spans="2:7" ht="12.75">
      <c r="B733" s="412"/>
      <c r="C733" s="412"/>
      <c r="D733" s="412"/>
      <c r="E733" s="412"/>
      <c r="F733" s="412"/>
      <c r="G733" s="412"/>
    </row>
    <row r="734" spans="2:7" ht="12.75">
      <c r="B734" s="412"/>
      <c r="C734" s="412"/>
      <c r="D734" s="412"/>
      <c r="E734" s="412"/>
      <c r="F734" s="412"/>
      <c r="G734" s="412"/>
    </row>
    <row r="735" spans="2:7" ht="12.75">
      <c r="B735" s="412"/>
      <c r="C735" s="412"/>
      <c r="D735" s="412"/>
      <c r="E735" s="412"/>
      <c r="F735" s="412"/>
      <c r="G735" s="412"/>
    </row>
    <row r="736" spans="2:7" ht="12.75">
      <c r="B736" s="412"/>
      <c r="C736" s="412"/>
      <c r="D736" s="412"/>
      <c r="E736" s="412"/>
      <c r="F736" s="412"/>
      <c r="G736" s="412"/>
    </row>
    <row r="737" spans="2:7" ht="12.75">
      <c r="B737" s="412"/>
      <c r="C737" s="412"/>
      <c r="D737" s="412"/>
      <c r="E737" s="412"/>
      <c r="F737" s="412"/>
      <c r="G737" s="412"/>
    </row>
    <row r="738" spans="2:7" ht="12.75">
      <c r="B738" s="412"/>
      <c r="C738" s="412"/>
      <c r="D738" s="412"/>
      <c r="E738" s="412"/>
      <c r="F738" s="412"/>
      <c r="G738" s="412"/>
    </row>
    <row r="739" spans="2:7" ht="12.75">
      <c r="B739" s="412"/>
      <c r="C739" s="412"/>
      <c r="D739" s="412"/>
      <c r="E739" s="412"/>
      <c r="F739" s="412"/>
      <c r="G739" s="412"/>
    </row>
    <row r="740" spans="2:7" ht="12.75">
      <c r="B740" s="412"/>
      <c r="C740" s="412"/>
      <c r="D740" s="412"/>
      <c r="E740" s="412"/>
      <c r="F740" s="412"/>
      <c r="G740" s="412"/>
    </row>
    <row r="741" spans="2:7" ht="12.75">
      <c r="B741" s="412"/>
      <c r="C741" s="412"/>
      <c r="D741" s="412"/>
      <c r="E741" s="412"/>
      <c r="F741" s="412"/>
      <c r="G741" s="412"/>
    </row>
    <row r="742" spans="2:7" ht="12.75">
      <c r="B742" s="412"/>
      <c r="C742" s="412"/>
      <c r="D742" s="412"/>
      <c r="E742" s="412"/>
      <c r="F742" s="412"/>
      <c r="G742" s="412"/>
    </row>
    <row r="743" spans="2:7" ht="12.75">
      <c r="B743" s="412"/>
      <c r="C743" s="412"/>
      <c r="D743" s="412"/>
      <c r="E743" s="412"/>
      <c r="F743" s="412"/>
      <c r="G743" s="412"/>
    </row>
    <row r="744" spans="2:7" ht="12.75">
      <c r="B744" s="412"/>
      <c r="C744" s="412"/>
      <c r="D744" s="412"/>
      <c r="E744" s="412"/>
      <c r="F744" s="412"/>
      <c r="G744" s="412"/>
    </row>
    <row r="745" spans="2:7" ht="12.75">
      <c r="B745" s="412"/>
      <c r="C745" s="412"/>
      <c r="D745" s="412"/>
      <c r="E745" s="412"/>
      <c r="F745" s="412"/>
      <c r="G745" s="412"/>
    </row>
    <row r="746" spans="2:7" ht="12.75">
      <c r="B746" s="412"/>
      <c r="C746" s="412"/>
      <c r="D746" s="412"/>
      <c r="E746" s="412"/>
      <c r="F746" s="412"/>
      <c r="G746" s="412"/>
    </row>
    <row r="747" spans="2:7" ht="12.75">
      <c r="B747" s="412"/>
      <c r="C747" s="412"/>
      <c r="D747" s="412"/>
      <c r="E747" s="412"/>
      <c r="F747" s="412"/>
      <c r="G747" s="412"/>
    </row>
    <row r="748" spans="2:7" ht="12.75">
      <c r="B748" s="412"/>
      <c r="C748" s="412"/>
      <c r="D748" s="412"/>
      <c r="E748" s="412"/>
      <c r="F748" s="412"/>
      <c r="G748" s="412"/>
    </row>
    <row r="749" spans="2:7" ht="12.75">
      <c r="B749" s="412"/>
      <c r="C749" s="412"/>
      <c r="D749" s="412"/>
      <c r="E749" s="412"/>
      <c r="F749" s="412"/>
      <c r="G749" s="412"/>
    </row>
    <row r="750" spans="2:7" ht="12.75">
      <c r="B750" s="412"/>
      <c r="C750" s="412"/>
      <c r="D750" s="412"/>
      <c r="E750" s="412"/>
      <c r="F750" s="412"/>
      <c r="G750" s="412"/>
    </row>
    <row r="751" spans="2:7" ht="12.75">
      <c r="B751" s="412"/>
      <c r="C751" s="412"/>
      <c r="D751" s="412"/>
      <c r="E751" s="412"/>
      <c r="F751" s="412"/>
      <c r="G751" s="412"/>
    </row>
    <row r="752" spans="2:7" ht="12.75">
      <c r="B752" s="412"/>
      <c r="C752" s="412"/>
      <c r="D752" s="412"/>
      <c r="E752" s="412"/>
      <c r="F752" s="412"/>
      <c r="G752" s="412"/>
    </row>
    <row r="753" spans="2:7" ht="12.75">
      <c r="B753" s="412"/>
      <c r="C753" s="412"/>
      <c r="D753" s="412"/>
      <c r="E753" s="412"/>
      <c r="F753" s="412"/>
      <c r="G753" s="412"/>
    </row>
    <row r="754" spans="2:7" ht="12.75">
      <c r="B754" s="412"/>
      <c r="C754" s="412"/>
      <c r="D754" s="412"/>
      <c r="E754" s="412"/>
      <c r="F754" s="412"/>
      <c r="G754" s="412"/>
    </row>
    <row r="755" spans="2:7" ht="12.75">
      <c r="B755" s="412"/>
      <c r="C755" s="412"/>
      <c r="D755" s="412"/>
      <c r="E755" s="412"/>
      <c r="F755" s="412"/>
      <c r="G755" s="412"/>
    </row>
    <row r="756" spans="2:7" ht="12.75">
      <c r="B756" s="412"/>
      <c r="C756" s="412"/>
      <c r="D756" s="412"/>
      <c r="E756" s="412"/>
      <c r="F756" s="412"/>
      <c r="G756" s="412"/>
    </row>
    <row r="757" spans="2:7" ht="12.75">
      <c r="B757" s="412"/>
      <c r="C757" s="412"/>
      <c r="D757" s="412"/>
      <c r="E757" s="412"/>
      <c r="F757" s="412"/>
      <c r="G757" s="412"/>
    </row>
    <row r="758" spans="2:7" ht="12.75">
      <c r="B758" s="412"/>
      <c r="C758" s="412"/>
      <c r="D758" s="412"/>
      <c r="E758" s="412"/>
      <c r="F758" s="412"/>
      <c r="G758" s="412"/>
    </row>
    <row r="759" spans="2:7" ht="12.75">
      <c r="B759" s="412"/>
      <c r="C759" s="412"/>
      <c r="D759" s="412"/>
      <c r="E759" s="412"/>
      <c r="F759" s="412"/>
      <c r="G759" s="412"/>
    </row>
    <row r="760" spans="2:7" ht="12.75">
      <c r="B760" s="412"/>
      <c r="C760" s="412"/>
      <c r="D760" s="412"/>
      <c r="E760" s="412"/>
      <c r="F760" s="412"/>
      <c r="G760" s="412"/>
    </row>
    <row r="761" spans="2:7" ht="12.75">
      <c r="B761" s="412"/>
      <c r="C761" s="412"/>
      <c r="D761" s="412"/>
      <c r="E761" s="412"/>
      <c r="F761" s="412"/>
      <c r="G761" s="412"/>
    </row>
    <row r="762" spans="2:7" ht="12.75">
      <c r="B762" s="412"/>
      <c r="C762" s="412"/>
      <c r="D762" s="412"/>
      <c r="E762" s="412"/>
      <c r="F762" s="412"/>
      <c r="G762" s="412"/>
    </row>
    <row r="763" spans="2:7" ht="12.75">
      <c r="B763" s="412"/>
      <c r="C763" s="412"/>
      <c r="D763" s="412"/>
      <c r="E763" s="412"/>
      <c r="F763" s="412"/>
      <c r="G763" s="412"/>
    </row>
    <row r="764" spans="2:7" ht="12.75">
      <c r="B764" s="412"/>
      <c r="C764" s="412"/>
      <c r="D764" s="412"/>
      <c r="E764" s="412"/>
      <c r="F764" s="412"/>
      <c r="G764" s="412"/>
    </row>
    <row r="765" spans="2:7" ht="12.75">
      <c r="B765" s="412"/>
      <c r="C765" s="412"/>
      <c r="D765" s="412"/>
      <c r="E765" s="412"/>
      <c r="F765" s="412"/>
      <c r="G765" s="412"/>
    </row>
    <row r="766" spans="2:7" ht="12.75">
      <c r="B766" s="412"/>
      <c r="C766" s="412"/>
      <c r="D766" s="412"/>
      <c r="E766" s="412"/>
      <c r="F766" s="412"/>
      <c r="G766" s="412"/>
    </row>
    <row r="767" spans="2:7" ht="12.75">
      <c r="B767" s="412"/>
      <c r="C767" s="412"/>
      <c r="D767" s="412"/>
      <c r="E767" s="412"/>
      <c r="F767" s="412"/>
      <c r="G767" s="412"/>
    </row>
    <row r="768" spans="2:7" ht="12.75">
      <c r="B768" s="412"/>
      <c r="C768" s="412"/>
      <c r="D768" s="412"/>
      <c r="E768" s="412"/>
      <c r="F768" s="412"/>
      <c r="G768" s="412"/>
    </row>
    <row r="769" spans="2:7" ht="12.75">
      <c r="B769" s="412"/>
      <c r="C769" s="412"/>
      <c r="D769" s="412"/>
      <c r="E769" s="412"/>
      <c r="F769" s="412"/>
      <c r="G769" s="412"/>
    </row>
    <row r="770" spans="2:7" ht="12.75">
      <c r="B770" s="412"/>
      <c r="C770" s="412"/>
      <c r="D770" s="412"/>
      <c r="E770" s="412"/>
      <c r="F770" s="412"/>
      <c r="G770" s="412"/>
    </row>
    <row r="771" spans="2:7" ht="12.75">
      <c r="B771" s="412"/>
      <c r="C771" s="412"/>
      <c r="D771" s="412"/>
      <c r="E771" s="412"/>
      <c r="F771" s="412"/>
      <c r="G771" s="412"/>
    </row>
    <row r="772" spans="2:7" ht="12.75">
      <c r="B772" s="412"/>
      <c r="C772" s="412"/>
      <c r="D772" s="412"/>
      <c r="E772" s="412"/>
      <c r="F772" s="412"/>
      <c r="G772" s="412"/>
    </row>
    <row r="773" spans="2:7" ht="12.75">
      <c r="B773" s="412"/>
      <c r="C773" s="412"/>
      <c r="D773" s="412"/>
      <c r="E773" s="412"/>
      <c r="F773" s="412"/>
      <c r="G773" s="412"/>
    </row>
    <row r="774" spans="2:7" ht="12.75">
      <c r="B774" s="412"/>
      <c r="C774" s="412"/>
      <c r="D774" s="412"/>
      <c r="E774" s="412"/>
      <c r="F774" s="412"/>
      <c r="G774" s="412"/>
    </row>
    <row r="775" spans="2:7" ht="12.75">
      <c r="B775" s="412"/>
      <c r="C775" s="412"/>
      <c r="D775" s="412"/>
      <c r="E775" s="412"/>
      <c r="F775" s="412"/>
      <c r="G775" s="412"/>
    </row>
    <row r="776" spans="2:7" ht="12.75">
      <c r="B776" s="412"/>
      <c r="C776" s="412"/>
      <c r="D776" s="412"/>
      <c r="E776" s="412"/>
      <c r="F776" s="412"/>
      <c r="G776" s="412"/>
    </row>
    <row r="777" spans="2:7" ht="12.75">
      <c r="B777" s="412"/>
      <c r="C777" s="412"/>
      <c r="D777" s="412"/>
      <c r="E777" s="412"/>
      <c r="F777" s="412"/>
      <c r="G777" s="412"/>
    </row>
    <row r="778" spans="2:7" ht="12.75">
      <c r="B778" s="412"/>
      <c r="C778" s="412"/>
      <c r="D778" s="412"/>
      <c r="E778" s="412"/>
      <c r="F778" s="412"/>
      <c r="G778" s="412"/>
    </row>
    <row r="779" spans="2:7" ht="12.75">
      <c r="B779" s="412"/>
      <c r="C779" s="412"/>
      <c r="D779" s="412"/>
      <c r="E779" s="412"/>
      <c r="F779" s="412"/>
      <c r="G779" s="412"/>
    </row>
    <row r="780" spans="2:7" ht="12.75">
      <c r="B780" s="412"/>
      <c r="C780" s="412"/>
      <c r="D780" s="412"/>
      <c r="E780" s="412"/>
      <c r="F780" s="412"/>
      <c r="G780" s="412"/>
    </row>
    <row r="781" spans="2:7" ht="12.75">
      <c r="B781" s="412"/>
      <c r="C781" s="412"/>
      <c r="D781" s="412"/>
      <c r="E781" s="412"/>
      <c r="F781" s="412"/>
      <c r="G781" s="412"/>
    </row>
    <row r="782" spans="2:7" ht="12.75">
      <c r="B782" s="412"/>
      <c r="C782" s="412"/>
      <c r="D782" s="412"/>
      <c r="E782" s="412"/>
      <c r="F782" s="412"/>
      <c r="G782" s="412"/>
    </row>
    <row r="783" spans="2:7" ht="12.75">
      <c r="B783" s="412"/>
      <c r="C783" s="412"/>
      <c r="D783" s="412"/>
      <c r="E783" s="412"/>
      <c r="F783" s="412"/>
      <c r="G783" s="412"/>
    </row>
    <row r="784" spans="2:7" ht="12.75">
      <c r="B784" s="412"/>
      <c r="C784" s="412"/>
      <c r="D784" s="412"/>
      <c r="E784" s="412"/>
      <c r="F784" s="412"/>
      <c r="G784" s="412"/>
    </row>
    <row r="785" spans="2:7" ht="12.75">
      <c r="B785" s="412"/>
      <c r="C785" s="412"/>
      <c r="D785" s="412"/>
      <c r="E785" s="412"/>
      <c r="F785" s="412"/>
      <c r="G785" s="412"/>
    </row>
    <row r="786" spans="2:7" ht="12.75">
      <c r="B786" s="412"/>
      <c r="C786" s="412"/>
      <c r="D786" s="412"/>
      <c r="E786" s="412"/>
      <c r="F786" s="412"/>
      <c r="G786" s="412"/>
    </row>
    <row r="787" spans="2:7" ht="12.75">
      <c r="B787" s="412"/>
      <c r="C787" s="412"/>
      <c r="D787" s="412"/>
      <c r="E787" s="412"/>
      <c r="F787" s="412"/>
      <c r="G787" s="412"/>
    </row>
    <row r="788" spans="2:7" ht="12.75">
      <c r="B788" s="412"/>
      <c r="C788" s="412"/>
      <c r="D788" s="412"/>
      <c r="E788" s="412"/>
      <c r="F788" s="412"/>
      <c r="G788" s="412"/>
    </row>
    <row r="789" spans="2:7" ht="12.75">
      <c r="B789" s="412"/>
      <c r="C789" s="412"/>
      <c r="D789" s="412"/>
      <c r="E789" s="412"/>
      <c r="F789" s="412"/>
      <c r="G789" s="412"/>
    </row>
    <row r="790" spans="2:7" ht="12.75">
      <c r="B790" s="412"/>
      <c r="C790" s="412"/>
      <c r="D790" s="412"/>
      <c r="E790" s="412"/>
      <c r="F790" s="412"/>
      <c r="G790" s="412"/>
    </row>
    <row r="791" spans="2:7" ht="12.75">
      <c r="B791" s="412"/>
      <c r="C791" s="412"/>
      <c r="D791" s="412"/>
      <c r="E791" s="412"/>
      <c r="F791" s="412"/>
      <c r="G791" s="412"/>
    </row>
    <row r="792" spans="2:7" ht="12.75">
      <c r="B792" s="412"/>
      <c r="C792" s="412"/>
      <c r="D792" s="412"/>
      <c r="E792" s="412"/>
      <c r="F792" s="412"/>
      <c r="G792" s="412"/>
    </row>
    <row r="793" spans="2:7" ht="12.75">
      <c r="B793" s="412"/>
      <c r="C793" s="412"/>
      <c r="D793" s="412"/>
      <c r="E793" s="412"/>
      <c r="F793" s="412"/>
      <c r="G793" s="412"/>
    </row>
    <row r="794" spans="2:7" ht="12.75">
      <c r="B794" s="412"/>
      <c r="C794" s="412"/>
      <c r="D794" s="412"/>
      <c r="E794" s="412"/>
      <c r="F794" s="412"/>
      <c r="G794" s="412"/>
    </row>
    <row r="795" spans="2:7" ht="12.75">
      <c r="B795" s="412"/>
      <c r="C795" s="412"/>
      <c r="D795" s="412"/>
      <c r="E795" s="412"/>
      <c r="F795" s="412"/>
      <c r="G795" s="412"/>
    </row>
    <row r="796" spans="2:7" ht="12.75">
      <c r="B796" s="412"/>
      <c r="C796" s="412"/>
      <c r="D796" s="412"/>
      <c r="E796" s="412"/>
      <c r="F796" s="412"/>
      <c r="G796" s="412"/>
    </row>
    <row r="797" spans="2:7" ht="12.75">
      <c r="B797" s="412"/>
      <c r="C797" s="412"/>
      <c r="D797" s="412"/>
      <c r="E797" s="412"/>
      <c r="F797" s="412"/>
      <c r="G797" s="412"/>
    </row>
    <row r="798" spans="2:7" ht="12.75">
      <c r="B798" s="412"/>
      <c r="C798" s="412"/>
      <c r="D798" s="412"/>
      <c r="E798" s="412"/>
      <c r="F798" s="412"/>
      <c r="G798" s="412"/>
    </row>
    <row r="799" spans="2:7" ht="12.75">
      <c r="B799" s="412"/>
      <c r="C799" s="412"/>
      <c r="D799" s="412"/>
      <c r="E799" s="412"/>
      <c r="F799" s="412"/>
      <c r="G799" s="412"/>
    </row>
    <row r="800" spans="2:7" ht="12.75">
      <c r="B800" s="412"/>
      <c r="C800" s="412"/>
      <c r="D800" s="412"/>
      <c r="E800" s="412"/>
      <c r="F800" s="412"/>
      <c r="G800" s="412"/>
    </row>
    <row r="801" spans="2:7" ht="12.75">
      <c r="B801" s="412"/>
      <c r="C801" s="412"/>
      <c r="D801" s="412"/>
      <c r="E801" s="412"/>
      <c r="F801" s="412"/>
      <c r="G801" s="412"/>
    </row>
    <row r="802" spans="2:7" ht="12.75">
      <c r="B802" s="412"/>
      <c r="C802" s="412"/>
      <c r="D802" s="412"/>
      <c r="E802" s="412"/>
      <c r="F802" s="412"/>
      <c r="G802" s="412"/>
    </row>
    <row r="803" spans="2:7" ht="12.75">
      <c r="B803" s="412"/>
      <c r="C803" s="412"/>
      <c r="D803" s="412"/>
      <c r="E803" s="412"/>
      <c r="F803" s="412"/>
      <c r="G803" s="412"/>
    </row>
    <row r="804" spans="2:7" ht="12.75">
      <c r="B804" s="412"/>
      <c r="C804" s="412"/>
      <c r="D804" s="412"/>
      <c r="E804" s="412"/>
      <c r="F804" s="412"/>
      <c r="G804" s="412"/>
    </row>
    <row r="805" spans="2:7" ht="12.75">
      <c r="B805" s="412"/>
      <c r="C805" s="412"/>
      <c r="D805" s="412"/>
      <c r="E805" s="412"/>
      <c r="F805" s="412"/>
      <c r="G805" s="412"/>
    </row>
    <row r="806" spans="2:7" ht="12.75">
      <c r="B806" s="412"/>
      <c r="C806" s="412"/>
      <c r="D806" s="412"/>
      <c r="E806" s="412"/>
      <c r="F806" s="412"/>
      <c r="G806" s="412"/>
    </row>
    <row r="807" spans="2:7" ht="12.75">
      <c r="B807" s="412"/>
      <c r="C807" s="412"/>
      <c r="D807" s="412"/>
      <c r="E807" s="412"/>
      <c r="F807" s="412"/>
      <c r="G807" s="412"/>
    </row>
    <row r="808" spans="2:7" ht="12.75">
      <c r="B808" s="412"/>
      <c r="C808" s="412"/>
      <c r="D808" s="412"/>
      <c r="E808" s="412"/>
      <c r="F808" s="412"/>
      <c r="G808" s="412"/>
    </row>
    <row r="809" spans="2:7" ht="12.75">
      <c r="B809" s="412"/>
      <c r="C809" s="412"/>
      <c r="D809" s="412"/>
      <c r="E809" s="412"/>
      <c r="F809" s="412"/>
      <c r="G809" s="412"/>
    </row>
    <row r="810" spans="2:7" ht="12.75">
      <c r="B810" s="412"/>
      <c r="C810" s="412"/>
      <c r="D810" s="412"/>
      <c r="E810" s="412"/>
      <c r="F810" s="412"/>
      <c r="G810" s="412"/>
    </row>
    <row r="811" spans="2:7" ht="12.75">
      <c r="B811" s="412"/>
      <c r="C811" s="412"/>
      <c r="D811" s="412"/>
      <c r="E811" s="412"/>
      <c r="F811" s="412"/>
      <c r="G811" s="412"/>
    </row>
    <row r="812" spans="2:7" ht="12.75">
      <c r="B812" s="412"/>
      <c r="C812" s="412"/>
      <c r="D812" s="412"/>
      <c r="E812" s="412"/>
      <c r="F812" s="412"/>
      <c r="G812" s="412"/>
    </row>
    <row r="813" spans="2:7" ht="12.75">
      <c r="B813" s="412"/>
      <c r="C813" s="412"/>
      <c r="D813" s="412"/>
      <c r="E813" s="412"/>
      <c r="F813" s="412"/>
      <c r="G813" s="412"/>
    </row>
    <row r="814" spans="2:7" ht="12.75">
      <c r="B814" s="412"/>
      <c r="C814" s="412"/>
      <c r="D814" s="412"/>
      <c r="E814" s="412"/>
      <c r="F814" s="412"/>
      <c r="G814" s="412"/>
    </row>
    <row r="815" spans="2:7" ht="12.75">
      <c r="B815" s="412"/>
      <c r="C815" s="412"/>
      <c r="D815" s="412"/>
      <c r="E815" s="412"/>
      <c r="F815" s="412"/>
      <c r="G815" s="412"/>
    </row>
    <row r="816" spans="2:7" ht="12.75">
      <c r="B816" s="412"/>
      <c r="C816" s="412"/>
      <c r="D816" s="412"/>
      <c r="E816" s="412"/>
      <c r="F816" s="412"/>
      <c r="G816" s="412"/>
    </row>
    <row r="817" spans="2:7" ht="12.75">
      <c r="B817" s="412"/>
      <c r="C817" s="412"/>
      <c r="D817" s="412"/>
      <c r="E817" s="412"/>
      <c r="F817" s="412"/>
      <c r="G817" s="412"/>
    </row>
    <row r="818" spans="2:7" ht="12.75">
      <c r="B818" s="412"/>
      <c r="C818" s="412"/>
      <c r="D818" s="412"/>
      <c r="E818" s="412"/>
      <c r="F818" s="412"/>
      <c r="G818" s="412"/>
    </row>
    <row r="819" spans="2:7" ht="12.75">
      <c r="B819" s="412"/>
      <c r="C819" s="412"/>
      <c r="D819" s="412"/>
      <c r="E819" s="412"/>
      <c r="F819" s="412"/>
      <c r="G819" s="412"/>
    </row>
    <row r="820" spans="2:7" ht="12.75">
      <c r="B820" s="412"/>
      <c r="C820" s="412"/>
      <c r="D820" s="412"/>
      <c r="E820" s="412"/>
      <c r="F820" s="412"/>
      <c r="G820" s="412"/>
    </row>
    <row r="821" spans="2:7" ht="12.75">
      <c r="B821" s="412"/>
      <c r="C821" s="412"/>
      <c r="D821" s="412"/>
      <c r="E821" s="412"/>
      <c r="F821" s="412"/>
      <c r="G821" s="412"/>
    </row>
    <row r="822" spans="2:7" ht="12.75">
      <c r="B822" s="412"/>
      <c r="C822" s="412"/>
      <c r="D822" s="412"/>
      <c r="E822" s="412"/>
      <c r="F822" s="412"/>
      <c r="G822" s="412"/>
    </row>
    <row r="823" spans="2:7" ht="12.75">
      <c r="B823" s="412"/>
      <c r="C823" s="412"/>
      <c r="D823" s="412"/>
      <c r="E823" s="412"/>
      <c r="F823" s="412"/>
      <c r="G823" s="412"/>
    </row>
    <row r="824" spans="2:7" ht="12.75">
      <c r="B824" s="412"/>
      <c r="C824" s="412"/>
      <c r="D824" s="412"/>
      <c r="E824" s="412"/>
      <c r="F824" s="412"/>
      <c r="G824" s="412"/>
    </row>
    <row r="825" spans="2:7" ht="12.75">
      <c r="B825" s="412"/>
      <c r="C825" s="412"/>
      <c r="D825" s="412"/>
      <c r="E825" s="412"/>
      <c r="F825" s="412"/>
      <c r="G825" s="412"/>
    </row>
    <row r="826" spans="2:7" ht="12.75">
      <c r="B826" s="412"/>
      <c r="C826" s="412"/>
      <c r="D826" s="412"/>
      <c r="E826" s="412"/>
      <c r="F826" s="412"/>
      <c r="G826" s="412"/>
    </row>
    <row r="827" spans="2:7" ht="12.75">
      <c r="B827" s="412"/>
      <c r="C827" s="412"/>
      <c r="D827" s="412"/>
      <c r="E827" s="412"/>
      <c r="F827" s="412"/>
      <c r="G827" s="412"/>
    </row>
    <row r="828" spans="2:7" ht="12.75">
      <c r="B828" s="412"/>
      <c r="C828" s="412"/>
      <c r="D828" s="412"/>
      <c r="E828" s="412"/>
      <c r="F828" s="412"/>
      <c r="G828" s="412"/>
    </row>
    <row r="829" spans="2:7" ht="12.75">
      <c r="B829" s="412"/>
      <c r="C829" s="412"/>
      <c r="D829" s="412"/>
      <c r="E829" s="412"/>
      <c r="F829" s="412"/>
      <c r="G829" s="412"/>
    </row>
    <row r="830" spans="2:7" ht="12.75">
      <c r="B830" s="412"/>
      <c r="C830" s="412"/>
      <c r="D830" s="412"/>
      <c r="E830" s="412"/>
      <c r="F830" s="412"/>
      <c r="G830" s="412"/>
    </row>
    <row r="831" spans="2:7" ht="12.75">
      <c r="B831" s="412"/>
      <c r="C831" s="412"/>
      <c r="D831" s="412"/>
      <c r="E831" s="412"/>
      <c r="F831" s="412"/>
      <c r="G831" s="412"/>
    </row>
    <row r="832" spans="2:7" ht="12.75">
      <c r="B832" s="412"/>
      <c r="C832" s="412"/>
      <c r="D832" s="412"/>
      <c r="E832" s="412"/>
      <c r="F832" s="412"/>
      <c r="G832" s="412"/>
    </row>
    <row r="833" spans="2:7" ht="12.75">
      <c r="B833" s="412"/>
      <c r="C833" s="412"/>
      <c r="D833" s="412"/>
      <c r="E833" s="412"/>
      <c r="F833" s="412"/>
      <c r="G833" s="412"/>
    </row>
    <row r="834" spans="2:7" ht="12.75">
      <c r="B834" s="412"/>
      <c r="C834" s="412"/>
      <c r="D834" s="412"/>
      <c r="E834" s="412"/>
      <c r="F834" s="412"/>
      <c r="G834" s="412"/>
    </row>
    <row r="835" spans="2:7" ht="12.75">
      <c r="B835" s="412"/>
      <c r="C835" s="412"/>
      <c r="D835" s="412"/>
      <c r="E835" s="412"/>
      <c r="F835" s="412"/>
      <c r="G835" s="412"/>
    </row>
    <row r="836" spans="2:7" ht="12.75">
      <c r="B836" s="412"/>
      <c r="C836" s="412"/>
      <c r="D836" s="412"/>
      <c r="E836" s="412"/>
      <c r="F836" s="412"/>
      <c r="G836" s="412"/>
    </row>
    <row r="837" spans="2:7" ht="12.75">
      <c r="B837" s="412"/>
      <c r="C837" s="412"/>
      <c r="D837" s="412"/>
      <c r="E837" s="412"/>
      <c r="F837" s="412"/>
      <c r="G837" s="412"/>
    </row>
    <row r="838" spans="2:7" ht="12.75">
      <c r="B838" s="412"/>
      <c r="C838" s="412"/>
      <c r="D838" s="412"/>
      <c r="E838" s="412"/>
      <c r="F838" s="412"/>
      <c r="G838" s="412"/>
    </row>
    <row r="839" spans="2:7" ht="12.75">
      <c r="B839" s="412"/>
      <c r="C839" s="412"/>
      <c r="D839" s="412"/>
      <c r="E839" s="412"/>
      <c r="F839" s="412"/>
      <c r="G839" s="412"/>
    </row>
    <row r="840" spans="2:7" ht="12.75">
      <c r="B840" s="412"/>
      <c r="C840" s="412"/>
      <c r="D840" s="412"/>
      <c r="E840" s="412"/>
      <c r="F840" s="412"/>
      <c r="G840" s="412"/>
    </row>
    <row r="841" spans="2:7" ht="12.75">
      <c r="B841" s="412"/>
      <c r="C841" s="412"/>
      <c r="D841" s="412"/>
      <c r="E841" s="412"/>
      <c r="F841" s="412"/>
      <c r="G841" s="412"/>
    </row>
    <row r="842" spans="2:7" ht="12.75">
      <c r="B842" s="412"/>
      <c r="C842" s="412"/>
      <c r="D842" s="412"/>
      <c r="E842" s="412"/>
      <c r="F842" s="412"/>
      <c r="G842" s="412"/>
    </row>
    <row r="843" spans="2:7" ht="12.75">
      <c r="B843" s="412"/>
      <c r="C843" s="412"/>
      <c r="D843" s="412"/>
      <c r="E843" s="412"/>
      <c r="F843" s="412"/>
      <c r="G843" s="412"/>
    </row>
    <row r="844" spans="2:7" ht="12.75">
      <c r="B844" s="412"/>
      <c r="C844" s="412"/>
      <c r="D844" s="412"/>
      <c r="E844" s="412"/>
      <c r="F844" s="412"/>
      <c r="G844" s="412"/>
    </row>
    <row r="845" spans="2:7" ht="12.75">
      <c r="B845" s="412"/>
      <c r="C845" s="412"/>
      <c r="D845" s="412"/>
      <c r="E845" s="412"/>
      <c r="F845" s="412"/>
      <c r="G845" s="412"/>
    </row>
    <row r="846" spans="2:7" ht="12.75">
      <c r="B846" s="412"/>
      <c r="C846" s="412"/>
      <c r="D846" s="412"/>
      <c r="E846" s="412"/>
      <c r="F846" s="412"/>
      <c r="G846" s="412"/>
    </row>
    <row r="847" spans="2:7" ht="12.75">
      <c r="B847" s="412"/>
      <c r="C847" s="412"/>
      <c r="D847" s="412"/>
      <c r="E847" s="412"/>
      <c r="F847" s="412"/>
      <c r="G847" s="412"/>
    </row>
    <row r="848" spans="2:7" ht="12.75">
      <c r="B848" s="412"/>
      <c r="C848" s="412"/>
      <c r="D848" s="412"/>
      <c r="E848" s="412"/>
      <c r="F848" s="412"/>
      <c r="G848" s="412"/>
    </row>
    <row r="849" spans="2:7" ht="12.75">
      <c r="B849" s="412"/>
      <c r="C849" s="412"/>
      <c r="D849" s="412"/>
      <c r="E849" s="412"/>
      <c r="F849" s="412"/>
      <c r="G849" s="412"/>
    </row>
    <row r="850" spans="2:7" ht="12.75">
      <c r="B850" s="412"/>
      <c r="C850" s="412"/>
      <c r="D850" s="412"/>
      <c r="E850" s="412"/>
      <c r="F850" s="412"/>
      <c r="G850" s="412"/>
    </row>
    <row r="851" spans="2:7" ht="12.75">
      <c r="B851" s="412"/>
      <c r="C851" s="412"/>
      <c r="D851" s="412"/>
      <c r="E851" s="412"/>
      <c r="F851" s="412"/>
      <c r="G851" s="412"/>
    </row>
    <row r="852" spans="2:7" ht="12.75">
      <c r="B852" s="412"/>
      <c r="C852" s="412"/>
      <c r="D852" s="412"/>
      <c r="E852" s="412"/>
      <c r="F852" s="412"/>
      <c r="G852" s="412"/>
    </row>
    <row r="853" spans="2:7" ht="12.75">
      <c r="B853" s="412"/>
      <c r="C853" s="412"/>
      <c r="D853" s="412"/>
      <c r="E853" s="412"/>
      <c r="F853" s="412"/>
      <c r="G853" s="412"/>
    </row>
    <row r="854" spans="2:7" ht="12.75">
      <c r="B854" s="412"/>
      <c r="C854" s="412"/>
      <c r="D854" s="412"/>
      <c r="E854" s="412"/>
      <c r="F854" s="412"/>
      <c r="G854" s="412"/>
    </row>
    <row r="855" spans="2:7" ht="12.75">
      <c r="B855" s="412"/>
      <c r="C855" s="412"/>
      <c r="D855" s="412"/>
      <c r="E855" s="412"/>
      <c r="F855" s="412"/>
      <c r="G855" s="412"/>
    </row>
    <row r="856" spans="2:7" ht="12.75">
      <c r="B856" s="412"/>
      <c r="C856" s="412"/>
      <c r="D856" s="412"/>
      <c r="E856" s="412"/>
      <c r="F856" s="412"/>
      <c r="G856" s="412"/>
    </row>
    <row r="857" spans="2:7" ht="12.75">
      <c r="B857" s="412"/>
      <c r="C857" s="412"/>
      <c r="D857" s="412"/>
      <c r="E857" s="412"/>
      <c r="F857" s="412"/>
      <c r="G857" s="412"/>
    </row>
    <row r="858" spans="2:7" ht="12.75">
      <c r="B858" s="412"/>
      <c r="C858" s="412"/>
      <c r="D858" s="412"/>
      <c r="E858" s="412"/>
      <c r="F858" s="412"/>
      <c r="G858" s="412"/>
    </row>
    <row r="859" spans="2:7" ht="12.75">
      <c r="B859" s="412"/>
      <c r="C859" s="412"/>
      <c r="D859" s="412"/>
      <c r="E859" s="412"/>
      <c r="F859" s="412"/>
      <c r="G859" s="412"/>
    </row>
    <row r="860" spans="2:7" ht="12.75">
      <c r="B860" s="412"/>
      <c r="C860" s="412"/>
      <c r="D860" s="412"/>
      <c r="E860" s="412"/>
      <c r="F860" s="412"/>
      <c r="G860" s="412"/>
    </row>
    <row r="861" spans="2:7" ht="12.75">
      <c r="B861" s="412"/>
      <c r="C861" s="412"/>
      <c r="D861" s="412"/>
      <c r="E861" s="412"/>
      <c r="F861" s="412"/>
      <c r="G861" s="412"/>
    </row>
    <row r="862" spans="2:7" ht="12.75">
      <c r="B862" s="412"/>
      <c r="C862" s="412"/>
      <c r="D862" s="412"/>
      <c r="E862" s="412"/>
      <c r="F862" s="412"/>
      <c r="G862" s="412"/>
    </row>
    <row r="863" spans="2:7" ht="12.75">
      <c r="B863" s="412"/>
      <c r="C863" s="412"/>
      <c r="D863" s="412"/>
      <c r="E863" s="412"/>
      <c r="F863" s="412"/>
      <c r="G863" s="412"/>
    </row>
    <row r="864" spans="2:7" ht="12.75">
      <c r="B864" s="412"/>
      <c r="C864" s="412"/>
      <c r="D864" s="412"/>
      <c r="E864" s="412"/>
      <c r="F864" s="412"/>
      <c r="G864" s="412"/>
    </row>
    <row r="865" spans="2:7" ht="12.75">
      <c r="B865" s="412"/>
      <c r="C865" s="412"/>
      <c r="D865" s="412"/>
      <c r="E865" s="412"/>
      <c r="F865" s="412"/>
      <c r="G865" s="412"/>
    </row>
    <row r="866" spans="2:7" ht="12.75">
      <c r="B866" s="412"/>
      <c r="C866" s="412"/>
      <c r="D866" s="412"/>
      <c r="E866" s="412"/>
      <c r="F866" s="412"/>
      <c r="G866" s="412"/>
    </row>
    <row r="867" spans="2:7" ht="12.75">
      <c r="B867" s="412"/>
      <c r="C867" s="412"/>
      <c r="D867" s="412"/>
      <c r="E867" s="412"/>
      <c r="F867" s="412"/>
      <c r="G867" s="412"/>
    </row>
    <row r="868" spans="2:7" ht="12.75">
      <c r="B868" s="412"/>
      <c r="C868" s="412"/>
      <c r="D868" s="412"/>
      <c r="E868" s="412"/>
      <c r="F868" s="412"/>
      <c r="G868" s="412"/>
    </row>
    <row r="869" spans="2:7" ht="12.75">
      <c r="B869" s="412"/>
      <c r="C869" s="412"/>
      <c r="D869" s="412"/>
      <c r="E869" s="412"/>
      <c r="F869" s="412"/>
      <c r="G869" s="412"/>
    </row>
    <row r="870" spans="2:7" ht="12.75">
      <c r="B870" s="412"/>
      <c r="C870" s="412"/>
      <c r="D870" s="412"/>
      <c r="E870" s="412"/>
      <c r="F870" s="412"/>
      <c r="G870" s="412"/>
    </row>
    <row r="871" spans="2:7" ht="12.75">
      <c r="B871" s="412"/>
      <c r="C871" s="412"/>
      <c r="D871" s="412"/>
      <c r="E871" s="412"/>
      <c r="F871" s="412"/>
      <c r="G871" s="412"/>
    </row>
    <row r="872" spans="2:7" ht="12.75">
      <c r="B872" s="412"/>
      <c r="C872" s="412"/>
      <c r="D872" s="412"/>
      <c r="E872" s="412"/>
      <c r="F872" s="412"/>
      <c r="G872" s="412"/>
    </row>
    <row r="873" spans="2:7" ht="12.75">
      <c r="B873" s="412"/>
      <c r="C873" s="412"/>
      <c r="D873" s="412"/>
      <c r="E873" s="412"/>
      <c r="F873" s="412"/>
      <c r="G873" s="412"/>
    </row>
    <row r="874" spans="2:7" ht="12.75">
      <c r="B874" s="412"/>
      <c r="C874" s="412"/>
      <c r="D874" s="412"/>
      <c r="E874" s="412"/>
      <c r="F874" s="412"/>
      <c r="G874" s="412"/>
    </row>
    <row r="875" spans="2:7" ht="12.75">
      <c r="B875" s="412"/>
      <c r="C875" s="412"/>
      <c r="D875" s="412"/>
      <c r="E875" s="412"/>
      <c r="F875" s="412"/>
      <c r="G875" s="412"/>
    </row>
    <row r="876" spans="2:7" ht="12.75">
      <c r="B876" s="412"/>
      <c r="C876" s="412"/>
      <c r="D876" s="412"/>
      <c r="E876" s="412"/>
      <c r="F876" s="412"/>
      <c r="G876" s="412"/>
    </row>
    <row r="877" spans="2:7" ht="12.75">
      <c r="B877" s="412"/>
      <c r="C877" s="412"/>
      <c r="D877" s="412"/>
      <c r="E877" s="412"/>
      <c r="F877" s="412"/>
      <c r="G877" s="412"/>
    </row>
    <row r="878" spans="2:7" ht="12.75">
      <c r="B878" s="412"/>
      <c r="C878" s="412"/>
      <c r="D878" s="412"/>
      <c r="E878" s="412"/>
      <c r="F878" s="412"/>
      <c r="G878" s="412"/>
    </row>
    <row r="879" spans="2:7" ht="12.75">
      <c r="B879" s="412"/>
      <c r="C879" s="412"/>
      <c r="D879" s="412"/>
      <c r="E879" s="412"/>
      <c r="F879" s="412"/>
      <c r="G879" s="412"/>
    </row>
    <row r="880" spans="2:7" ht="12.75">
      <c r="B880" s="412"/>
      <c r="C880" s="412"/>
      <c r="D880" s="412"/>
      <c r="E880" s="412"/>
      <c r="F880" s="412"/>
      <c r="G880" s="412"/>
    </row>
    <row r="881" spans="2:7" ht="12.75">
      <c r="B881" s="412"/>
      <c r="C881" s="412"/>
      <c r="D881" s="412"/>
      <c r="E881" s="412"/>
      <c r="F881" s="412"/>
      <c r="G881" s="412"/>
    </row>
    <row r="882" spans="2:7" ht="12.75">
      <c r="B882" s="412"/>
      <c r="C882" s="412"/>
      <c r="D882" s="412"/>
      <c r="E882" s="412"/>
      <c r="F882" s="412"/>
      <c r="G882" s="412"/>
    </row>
    <row r="883" spans="2:7" ht="12.75">
      <c r="B883" s="412"/>
      <c r="C883" s="412"/>
      <c r="D883" s="412"/>
      <c r="E883" s="412"/>
      <c r="F883" s="412"/>
      <c r="G883" s="412"/>
    </row>
    <row r="884" spans="2:7" ht="12.75">
      <c r="B884" s="412"/>
      <c r="C884" s="412"/>
      <c r="D884" s="412"/>
      <c r="E884" s="412"/>
      <c r="F884" s="412"/>
      <c r="G884" s="412"/>
    </row>
    <row r="885" spans="2:7" ht="12.75">
      <c r="B885" s="412"/>
      <c r="C885" s="412"/>
      <c r="D885" s="412"/>
      <c r="E885" s="412"/>
      <c r="F885" s="412"/>
      <c r="G885" s="412"/>
    </row>
    <row r="886" spans="2:7" ht="12.75">
      <c r="B886" s="412"/>
      <c r="C886" s="412"/>
      <c r="D886" s="412"/>
      <c r="E886" s="412"/>
      <c r="F886" s="412"/>
      <c r="G886" s="412"/>
    </row>
    <row r="887" spans="2:7" ht="12.75">
      <c r="B887" s="412"/>
      <c r="C887" s="412"/>
      <c r="D887" s="412"/>
      <c r="E887" s="412"/>
      <c r="F887" s="412"/>
      <c r="G887" s="412"/>
    </row>
    <row r="888" spans="2:7" ht="12.75">
      <c r="B888" s="412"/>
      <c r="C888" s="412"/>
      <c r="D888" s="412"/>
      <c r="E888" s="412"/>
      <c r="F888" s="412"/>
      <c r="G888" s="412"/>
    </row>
    <row r="889" spans="2:7" ht="12.75">
      <c r="B889" s="412"/>
      <c r="C889" s="412"/>
      <c r="D889" s="412"/>
      <c r="E889" s="412"/>
      <c r="F889" s="412"/>
      <c r="G889" s="412"/>
    </row>
    <row r="890" spans="2:7" ht="12.75">
      <c r="B890" s="412"/>
      <c r="C890" s="412"/>
      <c r="D890" s="412"/>
      <c r="E890" s="412"/>
      <c r="F890" s="412"/>
      <c r="G890" s="412"/>
    </row>
    <row r="891" spans="2:7" ht="12.75">
      <c r="B891" s="412"/>
      <c r="C891" s="412"/>
      <c r="D891" s="412"/>
      <c r="E891" s="412"/>
      <c r="F891" s="412"/>
      <c r="G891" s="412"/>
    </row>
    <row r="892" spans="2:7" ht="12.75">
      <c r="B892" s="412"/>
      <c r="C892" s="412"/>
      <c r="D892" s="412"/>
      <c r="E892" s="412"/>
      <c r="F892" s="412"/>
      <c r="G892" s="412"/>
    </row>
    <row r="893" spans="2:7" ht="12.75">
      <c r="B893" s="412"/>
      <c r="C893" s="412"/>
      <c r="D893" s="412"/>
      <c r="E893" s="412"/>
      <c r="F893" s="412"/>
      <c r="G893" s="412"/>
    </row>
    <row r="894" spans="2:7" ht="12.75">
      <c r="B894" s="412"/>
      <c r="C894" s="412"/>
      <c r="D894" s="412"/>
      <c r="E894" s="412"/>
      <c r="F894" s="412"/>
      <c r="G894" s="412"/>
    </row>
    <row r="895" spans="2:7" ht="12.75">
      <c r="B895" s="412"/>
      <c r="C895" s="412"/>
      <c r="D895" s="412"/>
      <c r="E895" s="412"/>
      <c r="F895" s="412"/>
      <c r="G895" s="412"/>
    </row>
    <row r="896" spans="2:7" ht="12.75">
      <c r="B896" s="412"/>
      <c r="C896" s="412"/>
      <c r="D896" s="412"/>
      <c r="E896" s="412"/>
      <c r="F896" s="412"/>
      <c r="G896" s="412"/>
    </row>
    <row r="897" spans="2:7" ht="12.75">
      <c r="B897" s="412"/>
      <c r="C897" s="412"/>
      <c r="D897" s="412"/>
      <c r="E897" s="412"/>
      <c r="F897" s="412"/>
      <c r="G897" s="412"/>
    </row>
    <row r="898" spans="2:7" ht="12.75">
      <c r="B898" s="412"/>
      <c r="C898" s="412"/>
      <c r="D898" s="412"/>
      <c r="E898" s="412"/>
      <c r="F898" s="412"/>
      <c r="G898" s="412"/>
    </row>
    <row r="899" spans="2:7" ht="12.75">
      <c r="B899" s="412"/>
      <c r="C899" s="412"/>
      <c r="D899" s="412"/>
      <c r="E899" s="412"/>
      <c r="F899" s="412"/>
      <c r="G899" s="412"/>
    </row>
    <row r="900" spans="2:7" ht="12.75">
      <c r="B900" s="412"/>
      <c r="C900" s="412"/>
      <c r="D900" s="412"/>
      <c r="E900" s="412"/>
      <c r="F900" s="412"/>
      <c r="G900" s="412"/>
    </row>
    <row r="901" spans="2:7" ht="12.75">
      <c r="B901" s="412"/>
      <c r="C901" s="412"/>
      <c r="D901" s="412"/>
      <c r="E901" s="412"/>
      <c r="F901" s="412"/>
      <c r="G901" s="412"/>
    </row>
    <row r="902" spans="2:7" ht="12.75">
      <c r="B902" s="412"/>
      <c r="C902" s="412"/>
      <c r="D902" s="412"/>
      <c r="E902" s="412"/>
      <c r="F902" s="412"/>
      <c r="G902" s="412"/>
    </row>
    <row r="903" spans="2:7" ht="12.75">
      <c r="B903" s="412"/>
      <c r="C903" s="412"/>
      <c r="D903" s="412"/>
      <c r="E903" s="412"/>
      <c r="F903" s="412"/>
      <c r="G903" s="412"/>
    </row>
    <row r="904" spans="2:7" ht="12.75">
      <c r="B904" s="412"/>
      <c r="C904" s="412"/>
      <c r="D904" s="412"/>
      <c r="E904" s="412"/>
      <c r="F904" s="412"/>
      <c r="G904" s="412"/>
    </row>
    <row r="905" spans="2:7" ht="12.75">
      <c r="B905" s="412"/>
      <c r="C905" s="412"/>
      <c r="D905" s="412"/>
      <c r="E905" s="412"/>
      <c r="F905" s="412"/>
      <c r="G905" s="412"/>
    </row>
    <row r="906" spans="2:7" ht="12.75">
      <c r="B906" s="412"/>
      <c r="C906" s="412"/>
      <c r="D906" s="412"/>
      <c r="E906" s="412"/>
      <c r="F906" s="412"/>
      <c r="G906" s="412"/>
    </row>
    <row r="907" spans="2:7" ht="12.75">
      <c r="B907" s="412"/>
      <c r="C907" s="412"/>
      <c r="D907" s="412"/>
      <c r="E907" s="412"/>
      <c r="F907" s="412"/>
      <c r="G907" s="412"/>
    </row>
    <row r="908" spans="2:7" ht="12.75">
      <c r="B908" s="412"/>
      <c r="C908" s="412"/>
      <c r="D908" s="412"/>
      <c r="E908" s="412"/>
      <c r="F908" s="412"/>
      <c r="G908" s="412"/>
    </row>
    <row r="909" spans="2:7" ht="12.75">
      <c r="B909" s="412"/>
      <c r="C909" s="412"/>
      <c r="D909" s="412"/>
      <c r="E909" s="412"/>
      <c r="F909" s="412"/>
      <c r="G909" s="412"/>
    </row>
    <row r="910" spans="2:7" ht="12.75">
      <c r="B910" s="412"/>
      <c r="C910" s="412"/>
      <c r="D910" s="412"/>
      <c r="E910" s="412"/>
      <c r="F910" s="412"/>
      <c r="G910" s="412"/>
    </row>
    <row r="911" spans="2:7" ht="12.75">
      <c r="B911" s="412"/>
      <c r="C911" s="412"/>
      <c r="D911" s="412"/>
      <c r="E911" s="412"/>
      <c r="F911" s="412"/>
      <c r="G911" s="412"/>
    </row>
    <row r="912" spans="2:7" ht="12.75">
      <c r="B912" s="412"/>
      <c r="C912" s="412"/>
      <c r="D912" s="412"/>
      <c r="E912" s="412"/>
      <c r="F912" s="412"/>
      <c r="G912" s="412"/>
    </row>
    <row r="913" spans="2:7" ht="12.75">
      <c r="B913" s="412"/>
      <c r="C913" s="412"/>
      <c r="D913" s="412"/>
      <c r="E913" s="412"/>
      <c r="F913" s="412"/>
      <c r="G913" s="412"/>
    </row>
    <row r="914" spans="2:7" ht="12.75">
      <c r="B914" s="412"/>
      <c r="C914" s="412"/>
      <c r="D914" s="412"/>
      <c r="E914" s="412"/>
      <c r="F914" s="412"/>
      <c r="G914" s="412"/>
    </row>
    <row r="915" spans="2:7" ht="12.75">
      <c r="B915" s="412"/>
      <c r="C915" s="412"/>
      <c r="D915" s="412"/>
      <c r="E915" s="412"/>
      <c r="F915" s="412"/>
      <c r="G915" s="412"/>
    </row>
    <row r="916" spans="2:7" ht="12.75">
      <c r="B916" s="412"/>
      <c r="C916" s="412"/>
      <c r="D916" s="412"/>
      <c r="E916" s="412"/>
      <c r="F916" s="412"/>
      <c r="G916" s="412"/>
    </row>
    <row r="917" spans="2:7" ht="12.75">
      <c r="B917" s="412"/>
      <c r="C917" s="412"/>
      <c r="D917" s="412"/>
      <c r="E917" s="412"/>
      <c r="F917" s="412"/>
      <c r="G917" s="412"/>
    </row>
    <row r="918" spans="2:7" ht="12.75">
      <c r="B918" s="412"/>
      <c r="C918" s="412"/>
      <c r="D918" s="412"/>
      <c r="E918" s="412"/>
      <c r="F918" s="412"/>
      <c r="G918" s="412"/>
    </row>
    <row r="919" spans="2:7" ht="12.75">
      <c r="B919" s="412"/>
      <c r="C919" s="412"/>
      <c r="D919" s="412"/>
      <c r="E919" s="412"/>
      <c r="F919" s="412"/>
      <c r="G919" s="412"/>
    </row>
    <row r="920" spans="2:7" ht="12.75">
      <c r="B920" s="412"/>
      <c r="C920" s="412"/>
      <c r="D920" s="412"/>
      <c r="E920" s="412"/>
      <c r="F920" s="412"/>
      <c r="G920" s="412"/>
    </row>
    <row r="921" spans="2:7" ht="12.75">
      <c r="B921" s="412"/>
      <c r="C921" s="412"/>
      <c r="D921" s="412"/>
      <c r="E921" s="412"/>
      <c r="F921" s="412"/>
      <c r="G921" s="412"/>
    </row>
    <row r="922" spans="2:7" ht="12.75">
      <c r="B922" s="412"/>
      <c r="C922" s="412"/>
      <c r="D922" s="412"/>
      <c r="E922" s="412"/>
      <c r="F922" s="412"/>
      <c r="G922" s="412"/>
    </row>
    <row r="923" spans="2:7" ht="12.75">
      <c r="B923" s="412"/>
      <c r="C923" s="412"/>
      <c r="D923" s="412"/>
      <c r="E923" s="412"/>
      <c r="F923" s="412"/>
      <c r="G923" s="412"/>
    </row>
    <row r="924" spans="2:7" ht="12.75">
      <c r="B924" s="412"/>
      <c r="C924" s="412"/>
      <c r="D924" s="412"/>
      <c r="E924" s="412"/>
      <c r="F924" s="412"/>
      <c r="G924" s="412"/>
    </row>
    <row r="925" spans="2:7" ht="12.75">
      <c r="B925" s="412"/>
      <c r="C925" s="412"/>
      <c r="D925" s="412"/>
      <c r="E925" s="412"/>
      <c r="F925" s="412"/>
      <c r="G925" s="412"/>
    </row>
    <row r="926" spans="2:7" ht="12.75">
      <c r="B926" s="412"/>
      <c r="C926" s="412"/>
      <c r="D926" s="412"/>
      <c r="E926" s="412"/>
      <c r="F926" s="412"/>
      <c r="G926" s="412"/>
    </row>
    <row r="927" spans="2:7" ht="12.75">
      <c r="B927" s="412"/>
      <c r="C927" s="412"/>
      <c r="D927" s="412"/>
      <c r="E927" s="412"/>
      <c r="F927" s="412"/>
      <c r="G927" s="412"/>
    </row>
    <row r="928" spans="2:7" ht="12.75">
      <c r="B928" s="412"/>
      <c r="C928" s="412"/>
      <c r="D928" s="412"/>
      <c r="E928" s="412"/>
      <c r="F928" s="412"/>
      <c r="G928" s="412"/>
    </row>
    <row r="929" spans="2:7" ht="12.75">
      <c r="B929" s="412"/>
      <c r="C929" s="412"/>
      <c r="D929" s="412"/>
      <c r="E929" s="412"/>
      <c r="F929" s="412"/>
      <c r="G929" s="412"/>
    </row>
    <row r="930" spans="2:7" ht="12.75">
      <c r="B930" s="412"/>
      <c r="C930" s="412"/>
      <c r="D930" s="412"/>
      <c r="E930" s="412"/>
      <c r="F930" s="412"/>
      <c r="G930" s="412"/>
    </row>
    <row r="931" spans="2:7" ht="12.75">
      <c r="B931" s="412"/>
      <c r="C931" s="412"/>
      <c r="D931" s="412"/>
      <c r="E931" s="412"/>
      <c r="F931" s="412"/>
      <c r="G931" s="412"/>
    </row>
    <row r="932" spans="2:7" ht="12.75">
      <c r="B932" s="412"/>
      <c r="C932" s="412"/>
      <c r="D932" s="412"/>
      <c r="E932" s="412"/>
      <c r="F932" s="412"/>
      <c r="G932" s="412"/>
    </row>
    <row r="933" spans="2:7" ht="12.75">
      <c r="B933" s="412"/>
      <c r="C933" s="412"/>
      <c r="D933" s="412"/>
      <c r="E933" s="412"/>
      <c r="F933" s="412"/>
      <c r="G933" s="412"/>
    </row>
    <row r="934" spans="2:7" ht="12.75">
      <c r="B934" s="412"/>
      <c r="C934" s="412"/>
      <c r="D934" s="412"/>
      <c r="E934" s="412"/>
      <c r="F934" s="412"/>
      <c r="G934" s="412"/>
    </row>
    <row r="935" spans="2:7" ht="12.75">
      <c r="B935" s="412"/>
      <c r="C935" s="412"/>
      <c r="D935" s="412"/>
      <c r="E935" s="412"/>
      <c r="F935" s="412"/>
      <c r="G935" s="412"/>
    </row>
    <row r="936" spans="2:7" ht="12.75">
      <c r="B936" s="412"/>
      <c r="C936" s="412"/>
      <c r="D936" s="412"/>
      <c r="E936" s="412"/>
      <c r="F936" s="412"/>
      <c r="G936" s="412"/>
    </row>
    <row r="937" spans="2:7" ht="12.75">
      <c r="B937" s="412"/>
      <c r="C937" s="412"/>
      <c r="D937" s="412"/>
      <c r="E937" s="412"/>
      <c r="F937" s="412"/>
      <c r="G937" s="412"/>
    </row>
    <row r="938" spans="2:7" ht="12.75">
      <c r="B938" s="412"/>
      <c r="C938" s="412"/>
      <c r="D938" s="412"/>
      <c r="E938" s="412"/>
      <c r="F938" s="412"/>
      <c r="G938" s="412"/>
    </row>
    <row r="939" spans="2:7" ht="12.75">
      <c r="B939" s="412"/>
      <c r="C939" s="412"/>
      <c r="D939" s="412"/>
      <c r="E939" s="412"/>
      <c r="F939" s="412"/>
      <c r="G939" s="412"/>
    </row>
    <row r="940" spans="2:7" ht="12.75">
      <c r="B940" s="412"/>
      <c r="C940" s="412"/>
      <c r="D940" s="412"/>
      <c r="E940" s="412"/>
      <c r="F940" s="412"/>
      <c r="G940" s="412"/>
    </row>
    <row r="941" spans="2:7" ht="12.75">
      <c r="B941" s="412"/>
      <c r="C941" s="412"/>
      <c r="D941" s="412"/>
      <c r="E941" s="412"/>
      <c r="F941" s="412"/>
      <c r="G941" s="412"/>
    </row>
    <row r="942" spans="2:7" ht="12.75">
      <c r="B942" s="412"/>
      <c r="C942" s="412"/>
      <c r="D942" s="412"/>
      <c r="E942" s="412"/>
      <c r="F942" s="412"/>
      <c r="G942" s="412"/>
    </row>
    <row r="943" spans="2:7" ht="12.75">
      <c r="B943" s="412"/>
      <c r="C943" s="412"/>
      <c r="D943" s="412"/>
      <c r="E943" s="412"/>
      <c r="F943" s="412"/>
      <c r="G943" s="412"/>
    </row>
    <row r="944" spans="2:7" ht="12.75">
      <c r="B944" s="412"/>
      <c r="C944" s="412"/>
      <c r="D944" s="412"/>
      <c r="E944" s="412"/>
      <c r="F944" s="412"/>
      <c r="G944" s="412"/>
    </row>
    <row r="945" spans="2:7" ht="12.75">
      <c r="B945" s="412"/>
      <c r="C945" s="412"/>
      <c r="D945" s="412"/>
      <c r="E945" s="412"/>
      <c r="F945" s="412"/>
      <c r="G945" s="412"/>
    </row>
    <row r="946" spans="2:7" ht="12.75">
      <c r="B946" s="412"/>
      <c r="C946" s="412"/>
      <c r="D946" s="412"/>
      <c r="E946" s="412"/>
      <c r="F946" s="412"/>
      <c r="G946" s="412"/>
    </row>
    <row r="947" spans="2:7" ht="12.75">
      <c r="B947" s="412"/>
      <c r="C947" s="412"/>
      <c r="D947" s="412"/>
      <c r="E947" s="412"/>
      <c r="F947" s="412"/>
      <c r="G947" s="412"/>
    </row>
    <row r="948" spans="2:7" ht="12.75">
      <c r="B948" s="412"/>
      <c r="C948" s="412"/>
      <c r="D948" s="412"/>
      <c r="E948" s="412"/>
      <c r="F948" s="412"/>
      <c r="G948" s="412"/>
    </row>
    <row r="949" spans="2:7" ht="12.75">
      <c r="B949" s="412"/>
      <c r="C949" s="412"/>
      <c r="D949" s="412"/>
      <c r="E949" s="412"/>
      <c r="F949" s="412"/>
      <c r="G949" s="412"/>
    </row>
    <row r="950" spans="2:7" ht="12.75">
      <c r="B950" s="412"/>
      <c r="C950" s="412"/>
      <c r="D950" s="412"/>
      <c r="E950" s="412"/>
      <c r="F950" s="412"/>
      <c r="G950" s="412"/>
    </row>
    <row r="951" spans="2:7" ht="12.75">
      <c r="B951" s="412"/>
      <c r="C951" s="412"/>
      <c r="D951" s="412"/>
      <c r="E951" s="412"/>
      <c r="F951" s="412"/>
      <c r="G951" s="412"/>
    </row>
    <row r="952" spans="2:7" ht="12.75">
      <c r="B952" s="412"/>
      <c r="C952" s="412"/>
      <c r="D952" s="412"/>
      <c r="E952" s="412"/>
      <c r="F952" s="412"/>
      <c r="G952" s="412"/>
    </row>
    <row r="953" spans="2:7" ht="12.75">
      <c r="B953" s="412"/>
      <c r="C953" s="412"/>
      <c r="D953" s="412"/>
      <c r="E953" s="412"/>
      <c r="F953" s="412"/>
      <c r="G953" s="412"/>
    </row>
    <row r="954" spans="2:7" ht="12.75">
      <c r="B954" s="412"/>
      <c r="C954" s="412"/>
      <c r="D954" s="412"/>
      <c r="E954" s="412"/>
      <c r="F954" s="412"/>
      <c r="G954" s="412"/>
    </row>
    <row r="955" spans="2:7" ht="12.75">
      <c r="B955" s="412"/>
      <c r="C955" s="412"/>
      <c r="D955" s="412"/>
      <c r="E955" s="412"/>
      <c r="F955" s="412"/>
      <c r="G955" s="412"/>
    </row>
    <row r="956" spans="2:7" ht="12.75">
      <c r="B956" s="412"/>
      <c r="C956" s="412"/>
      <c r="D956" s="412"/>
      <c r="E956" s="412"/>
      <c r="F956" s="412"/>
      <c r="G956" s="412"/>
    </row>
    <row r="957" spans="2:7" ht="12.75">
      <c r="B957" s="412"/>
      <c r="C957" s="412"/>
      <c r="D957" s="412"/>
      <c r="E957" s="412"/>
      <c r="F957" s="412"/>
      <c r="G957" s="412"/>
    </row>
    <row r="958" spans="2:7" ht="12.75">
      <c r="B958" s="412"/>
      <c r="C958" s="412"/>
      <c r="D958" s="412"/>
      <c r="E958" s="412"/>
      <c r="F958" s="412"/>
      <c r="G958" s="412"/>
    </row>
    <row r="959" spans="2:7" ht="12.75">
      <c r="B959" s="412"/>
      <c r="C959" s="412"/>
      <c r="D959" s="412"/>
      <c r="E959" s="412"/>
      <c r="F959" s="412"/>
      <c r="G959" s="412"/>
    </row>
    <row r="960" spans="2:7" ht="12.75">
      <c r="B960" s="412"/>
      <c r="C960" s="412"/>
      <c r="D960" s="412"/>
      <c r="E960" s="412"/>
      <c r="F960" s="412"/>
      <c r="G960" s="412"/>
    </row>
    <row r="961" spans="2:7" ht="12.75">
      <c r="B961" s="412"/>
      <c r="C961" s="412"/>
      <c r="D961" s="412"/>
      <c r="E961" s="412"/>
      <c r="F961" s="412"/>
      <c r="G961" s="412"/>
    </row>
  </sheetData>
  <mergeCells count="3">
    <mergeCell ref="B2:F2"/>
    <mergeCell ref="H23:J23"/>
    <mergeCell ref="H42:J42"/>
  </mergeCells>
  <phoneticPr fontId="8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AA84F"/>
    <outlinePr summaryBelow="0" summaryRight="0"/>
  </sheetPr>
  <dimension ref="A1:AD933"/>
  <sheetViews>
    <sheetView workbookViewId="0"/>
  </sheetViews>
  <sheetFormatPr defaultColWidth="14.42578125" defaultRowHeight="15.75" customHeight="1" outlineLevelRow="1"/>
  <cols>
    <col min="1" max="1" width="20.42578125" customWidth="1"/>
    <col min="8" max="8" width="22.85546875" customWidth="1"/>
    <col min="9" max="9" width="21.140625" customWidth="1"/>
    <col min="10" max="10" width="20.42578125" customWidth="1"/>
    <col min="11" max="16" width="14.42578125" hidden="1"/>
  </cols>
  <sheetData>
    <row r="1" spans="1:28" ht="12.75">
      <c r="B1" s="426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T1" s="428"/>
      <c r="X1" s="428"/>
      <c r="Y1" s="428"/>
      <c r="Z1" s="428"/>
    </row>
    <row r="2" spans="1:28" ht="12.75">
      <c r="B2" s="426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T2" s="428"/>
      <c r="X2" s="428"/>
      <c r="Y2" s="428"/>
      <c r="Z2" s="428"/>
    </row>
    <row r="3" spans="1:28" ht="16.5">
      <c r="B3" s="426"/>
      <c r="H3" s="430" t="s">
        <v>245</v>
      </c>
      <c r="I3" s="428"/>
      <c r="J3" s="428"/>
      <c r="K3" s="428"/>
      <c r="L3" s="428"/>
      <c r="M3" s="428"/>
      <c r="N3" s="428"/>
      <c r="O3" s="428"/>
      <c r="P3" s="428"/>
      <c r="Q3" s="428"/>
      <c r="R3" s="428"/>
      <c r="T3" s="428"/>
      <c r="X3" s="428"/>
      <c r="Y3" s="428"/>
      <c r="Z3" s="428"/>
    </row>
    <row r="4" spans="1:28" ht="12.75">
      <c r="B4" s="426"/>
      <c r="H4" s="428"/>
      <c r="I4" s="428"/>
      <c r="J4" s="428"/>
      <c r="K4" s="428"/>
      <c r="L4" s="428"/>
      <c r="M4" s="428"/>
      <c r="N4" s="428"/>
      <c r="O4" s="431"/>
      <c r="P4" s="431"/>
      <c r="Q4" s="431"/>
      <c r="R4" s="428"/>
      <c r="T4" s="428"/>
      <c r="U4" s="7" t="s">
        <v>248</v>
      </c>
      <c r="X4" s="431"/>
      <c r="Y4" s="431"/>
      <c r="Z4" s="428"/>
    </row>
    <row r="5" spans="1:28" ht="12.75">
      <c r="B5" s="426"/>
      <c r="H5" s="6">
        <v>1730</v>
      </c>
      <c r="I5" s="432"/>
      <c r="J5" s="432"/>
      <c r="K5" s="428"/>
      <c r="L5" s="428"/>
      <c r="M5" s="428" t="s">
        <v>249</v>
      </c>
      <c r="N5" s="428" t="s">
        <v>249</v>
      </c>
      <c r="O5" s="428"/>
      <c r="P5" s="428"/>
      <c r="Q5" s="428"/>
      <c r="R5" s="428"/>
      <c r="T5" s="428"/>
      <c r="X5" s="428"/>
      <c r="Y5" s="428"/>
      <c r="Z5" s="428"/>
    </row>
    <row r="6" spans="1:28" ht="15" customHeight="1">
      <c r="A6" s="311" t="s">
        <v>6</v>
      </c>
      <c r="B6" s="433" t="s">
        <v>252</v>
      </c>
      <c r="C6" s="13" t="s">
        <v>11</v>
      </c>
      <c r="D6" s="11" t="s">
        <v>235</v>
      </c>
      <c r="E6" s="11" t="s">
        <v>105</v>
      </c>
      <c r="H6" s="948" t="s">
        <v>13</v>
      </c>
      <c r="I6" s="879"/>
      <c r="J6" s="860"/>
      <c r="K6" s="434" t="s">
        <v>17</v>
      </c>
      <c r="L6" s="434" t="s">
        <v>18</v>
      </c>
      <c r="M6" s="434" t="s">
        <v>19</v>
      </c>
      <c r="N6" s="434" t="s">
        <v>20</v>
      </c>
      <c r="O6" s="434" t="s">
        <v>21</v>
      </c>
      <c r="P6" s="434" t="s">
        <v>22</v>
      </c>
      <c r="Q6" s="434" t="s">
        <v>23</v>
      </c>
      <c r="R6" s="434" t="s">
        <v>107</v>
      </c>
      <c r="S6" s="435" t="s">
        <v>25</v>
      </c>
      <c r="T6" s="436" t="s">
        <v>26</v>
      </c>
      <c r="U6" s="436" t="s">
        <v>15</v>
      </c>
      <c r="V6" s="436" t="s">
        <v>16</v>
      </c>
      <c r="W6" s="436" t="s">
        <v>17</v>
      </c>
      <c r="X6" s="434" t="s">
        <v>18</v>
      </c>
      <c r="Y6" s="434" t="s">
        <v>19</v>
      </c>
      <c r="Z6" s="435" t="s">
        <v>20</v>
      </c>
      <c r="AA6" s="19" t="s">
        <v>21</v>
      </c>
      <c r="AB6" s="18" t="s">
        <v>22</v>
      </c>
    </row>
    <row r="7" spans="1:28" ht="12.75">
      <c r="A7" s="437" t="s">
        <v>261</v>
      </c>
      <c r="B7" s="438">
        <f>0+14</f>
        <v>14</v>
      </c>
      <c r="C7" s="439"/>
      <c r="D7" s="440">
        <v>6</v>
      </c>
      <c r="E7" s="100">
        <f t="shared" ref="E7:E21" si="0">AVERAGE(O29:Q29)</f>
        <v>135</v>
      </c>
      <c r="H7" s="949" t="s">
        <v>28</v>
      </c>
      <c r="I7" s="441">
        <v>117547</v>
      </c>
      <c r="J7" s="443" t="s">
        <v>261</v>
      </c>
      <c r="K7" s="116">
        <v>24</v>
      </c>
      <c r="L7" s="116"/>
      <c r="M7" s="116">
        <v>744</v>
      </c>
      <c r="N7" s="116">
        <v>72</v>
      </c>
      <c r="O7" s="116">
        <v>360</v>
      </c>
      <c r="P7" s="116">
        <v>240</v>
      </c>
      <c r="Q7" s="116">
        <v>300</v>
      </c>
      <c r="R7" s="116"/>
      <c r="S7" s="127"/>
      <c r="T7" s="444">
        <v>360</v>
      </c>
      <c r="U7" s="444"/>
      <c r="V7" s="444">
        <v>72</v>
      </c>
      <c r="W7" s="444"/>
      <c r="X7" s="116"/>
      <c r="Y7" s="116">
        <v>0</v>
      </c>
      <c r="Z7" s="127">
        <f t="shared" ref="Z7:Z13" si="1">B7*D7</f>
        <v>84</v>
      </c>
      <c r="AA7" s="445"/>
      <c r="AB7" s="446"/>
    </row>
    <row r="8" spans="1:28" ht="12.75">
      <c r="A8" s="437" t="s">
        <v>269</v>
      </c>
      <c r="B8" s="448">
        <v>0</v>
      </c>
      <c r="C8" s="439">
        <v>1500</v>
      </c>
      <c r="D8" s="440">
        <v>1</v>
      </c>
      <c r="E8" s="100">
        <f t="shared" si="0"/>
        <v>846</v>
      </c>
      <c r="H8" s="869"/>
      <c r="I8" s="441">
        <v>552897</v>
      </c>
      <c r="J8" s="443" t="s">
        <v>269</v>
      </c>
      <c r="K8" s="116">
        <v>6566</v>
      </c>
      <c r="L8" s="116">
        <v>1300</v>
      </c>
      <c r="M8" s="214">
        <v>400</v>
      </c>
      <c r="N8" s="116">
        <v>600</v>
      </c>
      <c r="O8" s="116"/>
      <c r="P8" s="116"/>
      <c r="Q8" s="116"/>
      <c r="R8" s="116"/>
      <c r="S8" s="127">
        <v>1793</v>
      </c>
      <c r="T8" s="444">
        <v>153</v>
      </c>
      <c r="U8" s="444">
        <v>1500</v>
      </c>
      <c r="V8" s="444"/>
      <c r="W8" s="444"/>
      <c r="X8" s="116">
        <v>2100</v>
      </c>
      <c r="Y8" s="116">
        <v>0</v>
      </c>
      <c r="Z8" s="127">
        <f t="shared" si="1"/>
        <v>0</v>
      </c>
      <c r="AA8" s="445"/>
      <c r="AB8" s="446"/>
    </row>
    <row r="9" spans="1:28" ht="12.75">
      <c r="A9" s="437" t="s">
        <v>270</v>
      </c>
      <c r="B9" s="448">
        <v>0</v>
      </c>
      <c r="C9" s="439"/>
      <c r="D9" s="440">
        <v>3</v>
      </c>
      <c r="E9" s="100">
        <f t="shared" si="0"/>
        <v>55.666666666666664</v>
      </c>
      <c r="H9" s="869"/>
      <c r="I9" s="441">
        <v>117771</v>
      </c>
      <c r="J9" s="443" t="s">
        <v>270</v>
      </c>
      <c r="K9" s="116">
        <v>282</v>
      </c>
      <c r="L9" s="116"/>
      <c r="M9" s="116"/>
      <c r="N9" s="116"/>
      <c r="O9" s="116">
        <v>240</v>
      </c>
      <c r="P9" s="116">
        <v>204</v>
      </c>
      <c r="Q9" s="116"/>
      <c r="R9" s="116"/>
      <c r="S9" s="127">
        <v>150</v>
      </c>
      <c r="T9" s="444"/>
      <c r="U9" s="444">
        <v>30</v>
      </c>
      <c r="V9" s="444"/>
      <c r="W9" s="444"/>
      <c r="X9" s="116">
        <v>120</v>
      </c>
      <c r="Y9" s="116">
        <v>0</v>
      </c>
      <c r="Z9" s="127">
        <f t="shared" si="1"/>
        <v>0</v>
      </c>
      <c r="AA9" s="445"/>
      <c r="AB9" s="446"/>
    </row>
    <row r="10" spans="1:28" ht="12.75">
      <c r="A10" s="437" t="s">
        <v>271</v>
      </c>
      <c r="B10" s="438">
        <f>14+3</f>
        <v>17</v>
      </c>
      <c r="C10" s="439"/>
      <c r="D10" s="440">
        <v>3</v>
      </c>
      <c r="E10" s="100">
        <f t="shared" si="0"/>
        <v>60.333333333333336</v>
      </c>
      <c r="H10" s="869"/>
      <c r="I10" s="441">
        <v>646546</v>
      </c>
      <c r="J10" s="443" t="s">
        <v>271</v>
      </c>
      <c r="K10" s="116">
        <v>84</v>
      </c>
      <c r="L10" s="116"/>
      <c r="M10" s="116"/>
      <c r="N10" s="116"/>
      <c r="O10" s="116">
        <v>204</v>
      </c>
      <c r="P10" s="116">
        <v>165</v>
      </c>
      <c r="Q10" s="116"/>
      <c r="R10" s="116"/>
      <c r="S10" s="127"/>
      <c r="T10" s="444"/>
      <c r="U10" s="444"/>
      <c r="V10" s="444">
        <v>51</v>
      </c>
      <c r="W10" s="444">
        <v>6</v>
      </c>
      <c r="X10" s="116">
        <v>45</v>
      </c>
      <c r="Y10" s="116">
        <v>36</v>
      </c>
      <c r="Z10" s="127">
        <f t="shared" si="1"/>
        <v>51</v>
      </c>
      <c r="AA10" s="445"/>
      <c r="AB10" s="446"/>
    </row>
    <row r="11" spans="1:28" ht="12.75">
      <c r="A11" s="437" t="s">
        <v>272</v>
      </c>
      <c r="B11" s="448">
        <v>23</v>
      </c>
      <c r="C11" s="439"/>
      <c r="D11" s="440">
        <v>3</v>
      </c>
      <c r="E11" s="100">
        <f t="shared" si="0"/>
        <v>20.400000000000002</v>
      </c>
      <c r="H11" s="869"/>
      <c r="I11" s="441">
        <v>646567</v>
      </c>
      <c r="J11" s="443" t="s">
        <v>272</v>
      </c>
      <c r="K11" s="117">
        <v>111</v>
      </c>
      <c r="L11" s="117"/>
      <c r="M11" s="117">
        <v>69</v>
      </c>
      <c r="N11" s="117"/>
      <c r="O11" s="117"/>
      <c r="P11" s="117"/>
      <c r="Q11" s="117"/>
      <c r="R11" s="117"/>
      <c r="S11" s="127"/>
      <c r="T11" s="450">
        <f>60+228</f>
        <v>288</v>
      </c>
      <c r="U11" s="450">
        <f>48-48</f>
        <v>0</v>
      </c>
      <c r="V11" s="451"/>
      <c r="W11" s="444"/>
      <c r="X11" s="452">
        <f>48-48</f>
        <v>0</v>
      </c>
      <c r="Y11" s="218">
        <v>0</v>
      </c>
      <c r="Z11" s="127">
        <f t="shared" si="1"/>
        <v>69</v>
      </c>
      <c r="AA11" s="445"/>
      <c r="AB11" s="446"/>
    </row>
    <row r="12" spans="1:28" ht="12.75">
      <c r="A12" s="437" t="s">
        <v>273</v>
      </c>
      <c r="B12" s="438">
        <v>6</v>
      </c>
      <c r="C12" s="439"/>
      <c r="D12" s="440">
        <v>12</v>
      </c>
      <c r="E12" s="100">
        <f t="shared" si="0"/>
        <v>33</v>
      </c>
      <c r="H12" s="869"/>
      <c r="I12" s="441">
        <v>691217</v>
      </c>
      <c r="J12" s="443" t="s">
        <v>273</v>
      </c>
      <c r="K12" s="116">
        <v>12</v>
      </c>
      <c r="L12" s="116"/>
      <c r="M12" s="214">
        <v>14</v>
      </c>
      <c r="N12" s="116">
        <v>60</v>
      </c>
      <c r="O12" s="116">
        <v>180</v>
      </c>
      <c r="P12" s="116">
        <v>84</v>
      </c>
      <c r="Q12" s="116"/>
      <c r="R12" s="116"/>
      <c r="S12" s="453"/>
      <c r="T12" s="444">
        <v>48</v>
      </c>
      <c r="U12" s="444"/>
      <c r="V12" s="444">
        <v>36</v>
      </c>
      <c r="W12" s="444"/>
      <c r="X12" s="116">
        <v>48</v>
      </c>
      <c r="Y12" s="116">
        <v>0</v>
      </c>
      <c r="Z12" s="127">
        <f t="shared" si="1"/>
        <v>72</v>
      </c>
      <c r="AA12" s="445"/>
      <c r="AB12" s="446"/>
    </row>
    <row r="13" spans="1:28" ht="12.75">
      <c r="A13" s="437" t="s">
        <v>274</v>
      </c>
      <c r="B13" s="448">
        <v>0</v>
      </c>
      <c r="C13" s="439">
        <v>1008</v>
      </c>
      <c r="D13" s="440">
        <v>12</v>
      </c>
      <c r="E13" s="100">
        <f t="shared" si="0"/>
        <v>2654.3333333333335</v>
      </c>
      <c r="H13" s="869"/>
      <c r="I13" s="441">
        <v>611174</v>
      </c>
      <c r="J13" s="454" t="s">
        <v>274</v>
      </c>
      <c r="K13" s="117"/>
      <c r="L13" s="117"/>
      <c r="M13" s="117"/>
      <c r="N13" s="117">
        <v>12144</v>
      </c>
      <c r="O13" s="117">
        <v>168</v>
      </c>
      <c r="P13" s="117"/>
      <c r="Q13" s="117"/>
      <c r="R13" s="117">
        <v>11988</v>
      </c>
      <c r="S13" s="212"/>
      <c r="T13" s="455">
        <v>12192</v>
      </c>
      <c r="U13" s="451"/>
      <c r="V13" s="451"/>
      <c r="W13" s="451"/>
      <c r="X13" s="214">
        <f>2000*12</f>
        <v>24000</v>
      </c>
      <c r="Y13" s="116">
        <v>0</v>
      </c>
      <c r="Z13" s="456">
        <f t="shared" si="1"/>
        <v>0</v>
      </c>
      <c r="AA13" s="457"/>
      <c r="AB13" s="446"/>
    </row>
    <row r="14" spans="1:28" ht="12.75">
      <c r="A14" s="437" t="s">
        <v>275</v>
      </c>
      <c r="B14" s="458">
        <v>1080</v>
      </c>
      <c r="C14" s="439"/>
      <c r="D14" s="440">
        <v>6</v>
      </c>
      <c r="E14" s="100">
        <f t="shared" si="0"/>
        <v>1769.6666666666667</v>
      </c>
      <c r="F14" s="118" t="s">
        <v>276</v>
      </c>
      <c r="H14" s="869"/>
      <c r="I14" s="441">
        <v>701775</v>
      </c>
      <c r="J14" s="454" t="s">
        <v>275</v>
      </c>
      <c r="K14" s="116">
        <v>4386</v>
      </c>
      <c r="L14" s="116"/>
      <c r="M14" s="116"/>
      <c r="N14" s="116"/>
      <c r="O14" s="116">
        <v>9720</v>
      </c>
      <c r="P14" s="116">
        <v>1944</v>
      </c>
      <c r="Q14" s="218"/>
      <c r="R14" s="218"/>
      <c r="S14" s="453"/>
      <c r="T14" s="459">
        <v>4608</v>
      </c>
      <c r="U14" s="459"/>
      <c r="V14" s="459">
        <v>3000</v>
      </c>
      <c r="W14" s="459"/>
      <c r="X14" s="218">
        <v>1440</v>
      </c>
      <c r="Y14" s="218">
        <v>4920</v>
      </c>
      <c r="Z14" s="460">
        <v>4800</v>
      </c>
      <c r="AA14" s="461">
        <f>B14*D14</f>
        <v>6480</v>
      </c>
      <c r="AB14" s="463"/>
    </row>
    <row r="15" spans="1:28" ht="12.75">
      <c r="A15" s="437" t="s">
        <v>277</v>
      </c>
      <c r="B15" s="438">
        <f>0+16</f>
        <v>16</v>
      </c>
      <c r="C15" s="439"/>
      <c r="D15" s="440">
        <v>3</v>
      </c>
      <c r="E15" s="100">
        <f t="shared" si="0"/>
        <v>52.333333333333336</v>
      </c>
      <c r="H15" s="869"/>
      <c r="I15" s="441">
        <v>646548</v>
      </c>
      <c r="J15" s="443" t="s">
        <v>277</v>
      </c>
      <c r="K15" s="116">
        <v>117</v>
      </c>
      <c r="L15" s="116"/>
      <c r="M15" s="116">
        <v>168</v>
      </c>
      <c r="N15" s="116"/>
      <c r="O15" s="116">
        <v>60</v>
      </c>
      <c r="P15" s="116">
        <v>138</v>
      </c>
      <c r="Q15" s="116"/>
      <c r="R15" s="116"/>
      <c r="S15" s="127">
        <v>45</v>
      </c>
      <c r="T15" s="444"/>
      <c r="U15" s="444">
        <v>162</v>
      </c>
      <c r="V15" s="444"/>
      <c r="W15" s="444"/>
      <c r="X15" s="116">
        <v>135</v>
      </c>
      <c r="Y15" s="116">
        <v>0</v>
      </c>
      <c r="Z15" s="464">
        <f t="shared" ref="Z15:Z22" si="2">B15*D15</f>
        <v>48</v>
      </c>
      <c r="AA15" s="465"/>
      <c r="AB15" s="446"/>
    </row>
    <row r="16" spans="1:28" ht="12.75">
      <c r="A16" s="437" t="s">
        <v>279</v>
      </c>
      <c r="B16" s="448">
        <v>0</v>
      </c>
      <c r="C16" s="439"/>
      <c r="D16" s="440">
        <v>6</v>
      </c>
      <c r="E16" s="100">
        <f t="shared" si="0"/>
        <v>44</v>
      </c>
      <c r="H16" s="869"/>
      <c r="I16" s="441">
        <v>589462</v>
      </c>
      <c r="J16" s="443" t="s">
        <v>279</v>
      </c>
      <c r="K16" s="116">
        <v>150</v>
      </c>
      <c r="L16" s="116"/>
      <c r="M16" s="116">
        <v>162</v>
      </c>
      <c r="N16" s="116"/>
      <c r="O16" s="116">
        <v>60</v>
      </c>
      <c r="P16" s="116">
        <v>132</v>
      </c>
      <c r="Q16" s="116"/>
      <c r="R16" s="116"/>
      <c r="S16" s="127"/>
      <c r="T16" s="444">
        <v>168</v>
      </c>
      <c r="U16" s="450">
        <f>60-60</f>
        <v>0</v>
      </c>
      <c r="V16" s="444"/>
      <c r="W16" s="450">
        <v>60</v>
      </c>
      <c r="X16" s="116">
        <v>60</v>
      </c>
      <c r="Y16" s="116">
        <v>0</v>
      </c>
      <c r="Z16" s="127">
        <f t="shared" si="2"/>
        <v>0</v>
      </c>
      <c r="AA16" s="445"/>
      <c r="AB16" s="446"/>
    </row>
    <row r="17" spans="1:30" ht="12.75">
      <c r="A17" s="437" t="s">
        <v>281</v>
      </c>
      <c r="B17" s="438">
        <f>12-12</f>
        <v>0</v>
      </c>
      <c r="C17" s="439"/>
      <c r="D17" s="440">
        <v>6</v>
      </c>
      <c r="E17" s="100">
        <f t="shared" si="0"/>
        <v>79</v>
      </c>
      <c r="H17" s="869"/>
      <c r="I17" s="441">
        <v>589466</v>
      </c>
      <c r="J17" s="443" t="s">
        <v>281</v>
      </c>
      <c r="K17" s="117">
        <v>186</v>
      </c>
      <c r="L17" s="117"/>
      <c r="M17" s="117">
        <v>258</v>
      </c>
      <c r="N17" s="117"/>
      <c r="O17" s="214">
        <f>180-141</f>
        <v>39</v>
      </c>
      <c r="P17" s="117">
        <v>330</v>
      </c>
      <c r="Q17" s="117"/>
      <c r="R17" s="214">
        <f>54-54</f>
        <v>0</v>
      </c>
      <c r="S17" s="127"/>
      <c r="T17" s="450">
        <f>300+30+12+30</f>
        <v>372</v>
      </c>
      <c r="U17" s="450">
        <f>300-300</f>
        <v>0</v>
      </c>
      <c r="V17" s="450">
        <f>30-30</f>
        <v>0</v>
      </c>
      <c r="W17" s="450">
        <f>12-12</f>
        <v>0</v>
      </c>
      <c r="X17" s="117">
        <v>420</v>
      </c>
      <c r="Y17" s="117">
        <v>0</v>
      </c>
      <c r="Z17" s="127">
        <f t="shared" si="2"/>
        <v>0</v>
      </c>
      <c r="AA17" s="445"/>
      <c r="AB17" s="446"/>
    </row>
    <row r="18" spans="1:30" ht="12.75">
      <c r="A18" s="437" t="s">
        <v>282</v>
      </c>
      <c r="B18" s="448">
        <v>0</v>
      </c>
      <c r="C18" s="439"/>
      <c r="D18" s="440">
        <v>3</v>
      </c>
      <c r="E18" s="100">
        <f t="shared" si="0"/>
        <v>177.66666666666666</v>
      </c>
      <c r="H18" s="869"/>
      <c r="I18" s="441">
        <v>116180</v>
      </c>
      <c r="J18" s="443" t="s">
        <v>282</v>
      </c>
      <c r="K18" s="218">
        <v>108</v>
      </c>
      <c r="L18" s="218"/>
      <c r="M18" s="218">
        <v>540</v>
      </c>
      <c r="N18" s="218"/>
      <c r="O18" s="218">
        <v>90</v>
      </c>
      <c r="P18" s="218">
        <v>735</v>
      </c>
      <c r="Q18" s="218"/>
      <c r="R18" s="218"/>
      <c r="S18" s="453">
        <v>600</v>
      </c>
      <c r="T18" s="459"/>
      <c r="U18" s="459">
        <v>1440</v>
      </c>
      <c r="V18" s="459">
        <v>330</v>
      </c>
      <c r="W18" s="444"/>
      <c r="X18" s="218">
        <v>390</v>
      </c>
      <c r="Y18" s="218">
        <v>0</v>
      </c>
      <c r="Z18" s="127">
        <f t="shared" si="2"/>
        <v>0</v>
      </c>
      <c r="AA18" s="445"/>
      <c r="AB18" s="446"/>
    </row>
    <row r="19" spans="1:30" ht="12.75">
      <c r="A19" s="437" t="s">
        <v>283</v>
      </c>
      <c r="B19" s="448">
        <v>16</v>
      </c>
      <c r="C19" s="439"/>
      <c r="D19" s="440">
        <v>6</v>
      </c>
      <c r="E19" s="100">
        <f t="shared" si="0"/>
        <v>70.36666666666666</v>
      </c>
      <c r="H19" s="869"/>
      <c r="I19" s="441">
        <v>695413</v>
      </c>
      <c r="J19" s="443" t="s">
        <v>283</v>
      </c>
      <c r="K19" s="116">
        <v>102</v>
      </c>
      <c r="L19" s="116"/>
      <c r="M19" s="116">
        <v>240</v>
      </c>
      <c r="N19" s="116"/>
      <c r="O19" s="116">
        <v>120</v>
      </c>
      <c r="P19" s="116">
        <v>96</v>
      </c>
      <c r="Q19" s="116"/>
      <c r="R19" s="116"/>
      <c r="S19" s="127">
        <v>72</v>
      </c>
      <c r="T19" s="444"/>
      <c r="U19" s="444">
        <v>48</v>
      </c>
      <c r="V19" s="451">
        <v>96</v>
      </c>
      <c r="W19" s="451"/>
      <c r="X19" s="117">
        <v>96</v>
      </c>
      <c r="Y19" s="218">
        <v>0</v>
      </c>
      <c r="Z19" s="127">
        <f t="shared" si="2"/>
        <v>96</v>
      </c>
      <c r="AA19" s="445"/>
      <c r="AB19" s="446"/>
    </row>
    <row r="20" spans="1:30" ht="12.75">
      <c r="A20" s="437" t="s">
        <v>284</v>
      </c>
      <c r="B20" s="448">
        <v>0</v>
      </c>
      <c r="C20" s="439"/>
      <c r="D20" s="440">
        <v>6</v>
      </c>
      <c r="E20" s="100">
        <f t="shared" si="0"/>
        <v>22.366666666666664</v>
      </c>
      <c r="H20" s="869"/>
      <c r="I20" s="441">
        <v>699883</v>
      </c>
      <c r="J20" s="443" t="s">
        <v>284</v>
      </c>
      <c r="K20" s="116">
        <v>96</v>
      </c>
      <c r="L20" s="116"/>
      <c r="M20" s="116">
        <v>132</v>
      </c>
      <c r="N20" s="116"/>
      <c r="O20" s="116">
        <v>90</v>
      </c>
      <c r="P20" s="116">
        <v>144</v>
      </c>
      <c r="Q20" s="116"/>
      <c r="R20" s="116"/>
      <c r="S20" s="127">
        <v>72</v>
      </c>
      <c r="T20" s="444"/>
      <c r="U20" s="444"/>
      <c r="V20" s="444"/>
      <c r="W20" s="444"/>
      <c r="X20" s="116">
        <v>36</v>
      </c>
      <c r="Y20" s="116">
        <v>0</v>
      </c>
      <c r="Z20" s="127">
        <f t="shared" si="2"/>
        <v>0</v>
      </c>
      <c r="AA20" s="445"/>
      <c r="AB20" s="446"/>
    </row>
    <row r="21" spans="1:30" ht="12.75">
      <c r="A21" s="437" t="s">
        <v>285</v>
      </c>
      <c r="B21" s="448">
        <v>0</v>
      </c>
      <c r="C21" s="439"/>
      <c r="D21" s="440">
        <v>12</v>
      </c>
      <c r="E21" s="100">
        <f t="shared" si="0"/>
        <v>652.33333333333337</v>
      </c>
      <c r="H21" s="869"/>
      <c r="I21" s="441">
        <v>645380</v>
      </c>
      <c r="J21" s="470" t="s">
        <v>285</v>
      </c>
      <c r="K21" s="471">
        <v>12</v>
      </c>
      <c r="L21" s="471"/>
      <c r="M21" s="471">
        <v>3456</v>
      </c>
      <c r="N21" s="471">
        <v>456</v>
      </c>
      <c r="O21" s="471">
        <v>2592</v>
      </c>
      <c r="P21" s="471">
        <v>2400</v>
      </c>
      <c r="Q21" s="471"/>
      <c r="R21" s="471">
        <v>240</v>
      </c>
      <c r="S21" s="472"/>
      <c r="T21" s="473">
        <v>1800</v>
      </c>
      <c r="U21" s="473">
        <v>840</v>
      </c>
      <c r="V21" s="473"/>
      <c r="W21" s="473">
        <v>1560</v>
      </c>
      <c r="X21" s="471">
        <v>480</v>
      </c>
      <c r="Y21" s="471">
        <v>1800</v>
      </c>
      <c r="Z21" s="127">
        <f t="shared" si="2"/>
        <v>0</v>
      </c>
      <c r="AA21" s="445"/>
      <c r="AB21" s="446"/>
    </row>
    <row r="22" spans="1:30" ht="12.75">
      <c r="A22" s="437" t="s">
        <v>288</v>
      </c>
      <c r="B22" s="448">
        <v>0</v>
      </c>
      <c r="C22" s="439">
        <v>331</v>
      </c>
      <c r="D22" s="440">
        <v>1</v>
      </c>
      <c r="E22" s="100">
        <v>1</v>
      </c>
      <c r="H22" s="869"/>
      <c r="I22" s="441">
        <v>578785</v>
      </c>
      <c r="J22" s="443" t="s">
        <v>288</v>
      </c>
      <c r="K22" s="116"/>
      <c r="L22" s="116"/>
      <c r="M22" s="116">
        <v>1162</v>
      </c>
      <c r="N22" s="116">
        <v>20</v>
      </c>
      <c r="O22" s="116"/>
      <c r="P22" s="116">
        <v>331</v>
      </c>
      <c r="Q22" s="116">
        <v>331</v>
      </c>
      <c r="R22" s="116"/>
      <c r="S22" s="212">
        <v>733</v>
      </c>
      <c r="T22" s="444">
        <v>331</v>
      </c>
      <c r="U22" s="444">
        <v>331</v>
      </c>
      <c r="V22" s="444"/>
      <c r="W22" s="444">
        <v>331</v>
      </c>
      <c r="X22" s="116">
        <v>620</v>
      </c>
      <c r="Y22" s="116">
        <v>0</v>
      </c>
      <c r="Z22" s="127">
        <f t="shared" si="2"/>
        <v>0</v>
      </c>
      <c r="AA22" s="445"/>
      <c r="AB22" s="446"/>
    </row>
    <row r="23" spans="1:30" ht="12.75">
      <c r="B23" s="478">
        <f>SUM(B7:B22)</f>
        <v>1172</v>
      </c>
      <c r="H23" s="869"/>
      <c r="I23" s="950" t="s">
        <v>38</v>
      </c>
      <c r="J23" s="860"/>
      <c r="K23" s="480">
        <f t="shared" ref="K23:AB23" si="3">SUM(K7:K22)</f>
        <v>12236</v>
      </c>
      <c r="L23" s="480">
        <f t="shared" si="3"/>
        <v>1300</v>
      </c>
      <c r="M23" s="480">
        <f t="shared" si="3"/>
        <v>7345</v>
      </c>
      <c r="N23" s="480">
        <f t="shared" si="3"/>
        <v>13352</v>
      </c>
      <c r="O23" s="480">
        <f t="shared" si="3"/>
        <v>13923</v>
      </c>
      <c r="P23" s="480">
        <f t="shared" si="3"/>
        <v>6943</v>
      </c>
      <c r="Q23" s="480">
        <f t="shared" si="3"/>
        <v>631</v>
      </c>
      <c r="R23" s="480">
        <f t="shared" si="3"/>
        <v>12228</v>
      </c>
      <c r="S23" s="481">
        <f t="shared" si="3"/>
        <v>3465</v>
      </c>
      <c r="T23" s="482">
        <f t="shared" si="3"/>
        <v>20320</v>
      </c>
      <c r="U23" s="482">
        <f t="shared" si="3"/>
        <v>4351</v>
      </c>
      <c r="V23" s="482">
        <f t="shared" si="3"/>
        <v>3585</v>
      </c>
      <c r="W23" s="482">
        <f t="shared" si="3"/>
        <v>1957</v>
      </c>
      <c r="X23" s="480">
        <f t="shared" si="3"/>
        <v>29990</v>
      </c>
      <c r="Y23" s="480">
        <f t="shared" si="3"/>
        <v>6756</v>
      </c>
      <c r="Z23" s="481">
        <f t="shared" si="3"/>
        <v>5220</v>
      </c>
      <c r="AA23" s="485">
        <f t="shared" si="3"/>
        <v>6480</v>
      </c>
      <c r="AB23" s="482">
        <f t="shared" si="3"/>
        <v>0</v>
      </c>
    </row>
    <row r="24" spans="1:30" ht="14.25">
      <c r="B24" s="426"/>
      <c r="H24" s="869"/>
      <c r="I24" s="950" t="s">
        <v>39</v>
      </c>
      <c r="J24" s="860"/>
      <c r="K24" s="480">
        <f>금액!H54</f>
        <v>1194489772.1000001</v>
      </c>
      <c r="L24" s="480">
        <f>금액!I54</f>
        <v>170734759</v>
      </c>
      <c r="M24" s="480">
        <f>금액!J54</f>
        <v>471526393.40999997</v>
      </c>
      <c r="N24" s="480">
        <f>금액!K54</f>
        <v>498217262.60000002</v>
      </c>
      <c r="O24" s="480">
        <f>금액!L54</f>
        <v>721547527.88999999</v>
      </c>
      <c r="P24" s="480">
        <f>금액!M54</f>
        <v>406400273.53000003</v>
      </c>
      <c r="Q24" s="480">
        <f>금액!N54</f>
        <v>52484812.329999998</v>
      </c>
      <c r="R24" s="480">
        <f>금액!O54</f>
        <v>391373901.12</v>
      </c>
      <c r="S24" s="481">
        <f>금액!P54</f>
        <v>407612201.61000001</v>
      </c>
      <c r="T24" s="482">
        <f>금액!Q54</f>
        <v>845588434.72000003</v>
      </c>
      <c r="U24" s="482">
        <f>금액!R54</f>
        <v>406889890.86999995</v>
      </c>
      <c r="V24" s="482">
        <f>금액!S54</f>
        <v>203776544.69999999</v>
      </c>
      <c r="W24" s="482">
        <f>금액!T54</f>
        <v>104285494.56999999</v>
      </c>
      <c r="X24" s="480">
        <f>금액!U54</f>
        <v>1327574100.1099999</v>
      </c>
      <c r="Y24" s="480">
        <f>금액!V54</f>
        <v>324853763.03999996</v>
      </c>
      <c r="Z24" s="481">
        <f>금액!W54</f>
        <v>286869308.49000001</v>
      </c>
      <c r="AA24" s="500">
        <f>52361.97*AA14</f>
        <v>339305565.60000002</v>
      </c>
      <c r="AB24" s="482">
        <f>금액!Y54</f>
        <v>0</v>
      </c>
    </row>
    <row r="25" spans="1:30" ht="12.75">
      <c r="B25" s="426"/>
      <c r="H25" s="870"/>
      <c r="I25" s="950" t="s">
        <v>40</v>
      </c>
      <c r="J25" s="860"/>
      <c r="K25" s="480">
        <f t="shared" ref="K25:T25" si="4">K24*$H$5</f>
        <v>2066467305733.0002</v>
      </c>
      <c r="L25" s="480">
        <f t="shared" si="4"/>
        <v>295371133070</v>
      </c>
      <c r="M25" s="480">
        <f t="shared" si="4"/>
        <v>815740660599.29993</v>
      </c>
      <c r="N25" s="480">
        <f t="shared" si="4"/>
        <v>861915864298</v>
      </c>
      <c r="O25" s="480">
        <f t="shared" si="4"/>
        <v>1248277223249.7</v>
      </c>
      <c r="P25" s="480">
        <f t="shared" si="4"/>
        <v>703072473206.90002</v>
      </c>
      <c r="Q25" s="480">
        <f t="shared" si="4"/>
        <v>90798725330.899994</v>
      </c>
      <c r="R25" s="480">
        <f t="shared" si="4"/>
        <v>677076848937.59998</v>
      </c>
      <c r="S25" s="508">
        <f t="shared" si="4"/>
        <v>705169108785.30005</v>
      </c>
      <c r="T25" s="482">
        <f t="shared" si="4"/>
        <v>1462867992065.6001</v>
      </c>
      <c r="U25" s="482"/>
      <c r="V25" s="482"/>
      <c r="W25" s="482"/>
      <c r="X25" s="480"/>
      <c r="Y25" s="480"/>
      <c r="Z25" s="508"/>
      <c r="AA25" s="485"/>
      <c r="AB25" s="482">
        <f>AB24*$H$5</f>
        <v>0</v>
      </c>
    </row>
    <row r="26" spans="1:30" ht="12.75">
      <c r="B26" s="512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X26" s="428"/>
      <c r="Y26" s="428"/>
      <c r="Z26" s="428"/>
    </row>
    <row r="27" spans="1:30" ht="12.75">
      <c r="B27" s="512"/>
      <c r="H27" s="428"/>
      <c r="I27" s="428"/>
      <c r="J27" s="428"/>
      <c r="K27" s="77" t="s">
        <v>42</v>
      </c>
      <c r="L27" s="77" t="s">
        <v>42</v>
      </c>
      <c r="M27" s="77" t="s">
        <v>294</v>
      </c>
      <c r="N27" s="77" t="s">
        <v>42</v>
      </c>
      <c r="O27" s="77" t="s">
        <v>294</v>
      </c>
      <c r="P27" s="77" t="s">
        <v>42</v>
      </c>
      <c r="Q27" s="77" t="s">
        <v>42</v>
      </c>
      <c r="R27" s="77" t="s">
        <v>42</v>
      </c>
      <c r="S27" s="514" t="s">
        <v>42</v>
      </c>
      <c r="T27" s="77" t="s">
        <v>42</v>
      </c>
      <c r="U27" s="77" t="s">
        <v>42</v>
      </c>
      <c r="V27" s="77" t="s">
        <v>42</v>
      </c>
      <c r="W27" s="77" t="s">
        <v>42</v>
      </c>
      <c r="X27" s="77" t="s">
        <v>42</v>
      </c>
      <c r="Y27" s="77" t="s">
        <v>42</v>
      </c>
      <c r="Z27" s="514" t="s">
        <v>42</v>
      </c>
      <c r="AA27" s="77" t="s">
        <v>42</v>
      </c>
      <c r="AB27" s="77" t="s">
        <v>42</v>
      </c>
    </row>
    <row r="28" spans="1:30" ht="12.75" outlineLevel="1">
      <c r="B28" s="426"/>
      <c r="H28" s="951" t="s">
        <v>43</v>
      </c>
      <c r="I28" s="879"/>
      <c r="J28" s="860"/>
      <c r="K28" s="516" t="s">
        <v>17</v>
      </c>
      <c r="L28" s="516" t="s">
        <v>18</v>
      </c>
      <c r="M28" s="516" t="s">
        <v>19</v>
      </c>
      <c r="N28" s="516" t="s">
        <v>20</v>
      </c>
      <c r="O28" s="516" t="s">
        <v>21</v>
      </c>
      <c r="P28" s="516" t="s">
        <v>22</v>
      </c>
      <c r="Q28" s="516" t="s">
        <v>23</v>
      </c>
      <c r="R28" s="516" t="s">
        <v>107</v>
      </c>
      <c r="S28" s="517" t="s">
        <v>25</v>
      </c>
      <c r="T28" s="516" t="s">
        <v>26</v>
      </c>
      <c r="U28" s="516" t="s">
        <v>15</v>
      </c>
      <c r="V28" s="516" t="s">
        <v>16</v>
      </c>
      <c r="W28" s="516" t="s">
        <v>17</v>
      </c>
      <c r="X28" s="516" t="s">
        <v>18</v>
      </c>
      <c r="Y28" s="516" t="s">
        <v>19</v>
      </c>
      <c r="Z28" s="517" t="s">
        <v>20</v>
      </c>
      <c r="AA28" s="519" t="s">
        <v>21</v>
      </c>
      <c r="AB28" s="519" t="s">
        <v>22</v>
      </c>
    </row>
    <row r="29" spans="1:30" ht="12.75" outlineLevel="1">
      <c r="A29" s="118"/>
      <c r="B29" s="520"/>
      <c r="C29" s="118"/>
      <c r="D29" s="118"/>
      <c r="E29" s="118"/>
      <c r="F29" s="118"/>
      <c r="G29" s="118"/>
      <c r="H29" s="952" t="s">
        <v>296</v>
      </c>
      <c r="I29" s="441">
        <v>117547</v>
      </c>
      <c r="J29" s="523" t="s">
        <v>261</v>
      </c>
      <c r="K29" s="524">
        <v>73</v>
      </c>
      <c r="L29" s="524">
        <v>85</v>
      </c>
      <c r="M29" s="524">
        <v>103</v>
      </c>
      <c r="N29" s="524">
        <v>150</v>
      </c>
      <c r="O29" s="524">
        <v>132</v>
      </c>
      <c r="P29" s="524">
        <v>136</v>
      </c>
      <c r="Q29" s="524">
        <v>137</v>
      </c>
      <c r="R29" s="524">
        <v>163</v>
      </c>
      <c r="S29" s="527">
        <v>132</v>
      </c>
      <c r="T29" s="528">
        <v>138</v>
      </c>
      <c r="U29" s="528">
        <v>129</v>
      </c>
      <c r="V29" s="528">
        <v>131</v>
      </c>
      <c r="W29" s="528">
        <v>127</v>
      </c>
      <c r="X29" s="528">
        <v>128</v>
      </c>
      <c r="Y29" s="528">
        <v>130</v>
      </c>
      <c r="Z29" s="527">
        <v>131</v>
      </c>
      <c r="AA29" s="531">
        <v>130</v>
      </c>
      <c r="AB29" s="531">
        <v>131</v>
      </c>
    </row>
    <row r="30" spans="1:30" ht="12.75" outlineLevel="1">
      <c r="A30" s="118"/>
      <c r="B30" s="520"/>
      <c r="C30" s="118"/>
      <c r="D30" s="118"/>
      <c r="E30" s="118"/>
      <c r="F30" s="118"/>
      <c r="G30" s="118"/>
      <c r="H30" s="869"/>
      <c r="I30" s="441">
        <v>552897</v>
      </c>
      <c r="J30" s="533" t="s">
        <v>269</v>
      </c>
      <c r="K30" s="524">
        <v>593</v>
      </c>
      <c r="L30" s="524">
        <v>1453</v>
      </c>
      <c r="M30" s="524">
        <v>376</v>
      </c>
      <c r="N30" s="524">
        <v>593</v>
      </c>
      <c r="O30" s="524">
        <v>1352</v>
      </c>
      <c r="P30" s="524">
        <v>593</v>
      </c>
      <c r="Q30" s="524">
        <v>593</v>
      </c>
      <c r="R30" s="524">
        <v>1453</v>
      </c>
      <c r="S30" s="535">
        <v>593</v>
      </c>
      <c r="T30" s="536">
        <v>593</v>
      </c>
      <c r="U30" s="536">
        <v>1453</v>
      </c>
      <c r="V30" s="536">
        <v>593</v>
      </c>
      <c r="W30" s="536">
        <v>593</v>
      </c>
      <c r="X30" s="524">
        <v>1453</v>
      </c>
      <c r="Y30" s="524">
        <v>593</v>
      </c>
      <c r="Z30" s="535">
        <v>593</v>
      </c>
      <c r="AA30" s="524">
        <v>1453</v>
      </c>
      <c r="AB30" s="524">
        <v>593</v>
      </c>
      <c r="AD30" s="7" t="s">
        <v>297</v>
      </c>
    </row>
    <row r="31" spans="1:30" ht="12.75" outlineLevel="1">
      <c r="A31" s="118"/>
      <c r="B31" s="520"/>
      <c r="C31" s="118"/>
      <c r="D31" s="118"/>
      <c r="E31" s="118"/>
      <c r="F31" s="118"/>
      <c r="G31" s="118"/>
      <c r="H31" s="869"/>
      <c r="I31" s="441">
        <v>117771</v>
      </c>
      <c r="J31" s="533" t="s">
        <v>270</v>
      </c>
      <c r="K31" s="524">
        <v>56</v>
      </c>
      <c r="L31" s="524">
        <v>120</v>
      </c>
      <c r="M31" s="524">
        <v>6</v>
      </c>
      <c r="N31" s="524">
        <v>30</v>
      </c>
      <c r="O31" s="524">
        <v>107</v>
      </c>
      <c r="P31" s="524">
        <v>30</v>
      </c>
      <c r="Q31" s="524">
        <v>30</v>
      </c>
      <c r="R31" s="524">
        <v>120</v>
      </c>
      <c r="S31" s="535">
        <v>30</v>
      </c>
      <c r="T31" s="536">
        <v>30</v>
      </c>
      <c r="U31" s="536">
        <v>120</v>
      </c>
      <c r="V31" s="536">
        <v>30</v>
      </c>
      <c r="W31" s="536">
        <v>30</v>
      </c>
      <c r="X31" s="524">
        <v>120</v>
      </c>
      <c r="Y31" s="524">
        <v>30</v>
      </c>
      <c r="Z31" s="535">
        <v>30</v>
      </c>
      <c r="AA31" s="524">
        <v>120</v>
      </c>
      <c r="AB31" s="524">
        <v>30</v>
      </c>
    </row>
    <row r="32" spans="1:30" ht="12.75" outlineLevel="1">
      <c r="A32" s="118"/>
      <c r="B32" s="520"/>
      <c r="C32" s="118"/>
      <c r="D32" s="118"/>
      <c r="E32" s="118"/>
      <c r="F32" s="118"/>
      <c r="G32" s="118"/>
      <c r="H32" s="869"/>
      <c r="I32" s="441">
        <v>646546</v>
      </c>
      <c r="J32" s="533" t="s">
        <v>271</v>
      </c>
      <c r="K32" s="524">
        <v>35</v>
      </c>
      <c r="L32" s="524">
        <v>40</v>
      </c>
      <c r="M32" s="524">
        <v>1</v>
      </c>
      <c r="N32" s="524">
        <v>39</v>
      </c>
      <c r="O32" s="524">
        <v>103</v>
      </c>
      <c r="P32" s="524">
        <v>39</v>
      </c>
      <c r="Q32" s="524">
        <v>39</v>
      </c>
      <c r="R32" s="524">
        <v>39</v>
      </c>
      <c r="S32" s="535">
        <v>39</v>
      </c>
      <c r="T32" s="536">
        <v>39</v>
      </c>
      <c r="U32" s="536">
        <v>39</v>
      </c>
      <c r="V32" s="536">
        <v>39</v>
      </c>
      <c r="W32" s="536">
        <v>39</v>
      </c>
      <c r="X32" s="524">
        <v>39</v>
      </c>
      <c r="Y32" s="524">
        <v>39</v>
      </c>
      <c r="Z32" s="535">
        <v>39</v>
      </c>
      <c r="AA32" s="524">
        <v>39</v>
      </c>
      <c r="AB32" s="524">
        <v>39</v>
      </c>
    </row>
    <row r="33" spans="1:29" ht="12.75" outlineLevel="1">
      <c r="A33" s="118"/>
      <c r="B33" s="520"/>
      <c r="C33" s="118"/>
      <c r="D33" s="118"/>
      <c r="E33" s="118"/>
      <c r="F33" s="118"/>
      <c r="G33" s="118"/>
      <c r="H33" s="869"/>
      <c r="I33" s="441">
        <v>646567</v>
      </c>
      <c r="J33" s="533" t="s">
        <v>272</v>
      </c>
      <c r="K33" s="524">
        <v>22</v>
      </c>
      <c r="L33" s="524">
        <v>70</v>
      </c>
      <c r="M33" s="524">
        <v>0.1</v>
      </c>
      <c r="N33" s="524">
        <v>0.1</v>
      </c>
      <c r="O33" s="524">
        <v>61</v>
      </c>
      <c r="P33" s="524">
        <v>0.1</v>
      </c>
      <c r="Q33" s="524">
        <v>0.1</v>
      </c>
      <c r="R33" s="524">
        <v>69</v>
      </c>
      <c r="S33" s="535">
        <v>0.1</v>
      </c>
      <c r="T33" s="536">
        <v>0.1</v>
      </c>
      <c r="U33" s="536">
        <v>69</v>
      </c>
      <c r="V33" s="536">
        <v>0.1</v>
      </c>
      <c r="W33" s="536">
        <v>0.1</v>
      </c>
      <c r="X33" s="524">
        <v>69</v>
      </c>
      <c r="Y33" s="524">
        <v>0.1</v>
      </c>
      <c r="Z33" s="535">
        <v>0.1</v>
      </c>
      <c r="AA33" s="524">
        <v>69</v>
      </c>
      <c r="AB33" s="524">
        <v>0.1</v>
      </c>
    </row>
    <row r="34" spans="1:29" ht="12.75" outlineLevel="1">
      <c r="A34" s="118"/>
      <c r="B34" s="520"/>
      <c r="C34" s="118"/>
      <c r="D34" s="118"/>
      <c r="E34" s="118"/>
      <c r="F34" s="118"/>
      <c r="G34" s="118"/>
      <c r="H34" s="869"/>
      <c r="I34" s="441">
        <v>691217</v>
      </c>
      <c r="J34" s="533" t="s">
        <v>273</v>
      </c>
      <c r="K34" s="524">
        <v>31</v>
      </c>
      <c r="L34" s="524">
        <v>35</v>
      </c>
      <c r="M34" s="524">
        <v>13</v>
      </c>
      <c r="N34" s="524">
        <v>21</v>
      </c>
      <c r="O34" s="524">
        <v>29</v>
      </c>
      <c r="P34" s="524">
        <v>35</v>
      </c>
      <c r="Q34" s="524">
        <v>35</v>
      </c>
      <c r="R34" s="524">
        <v>35</v>
      </c>
      <c r="S34" s="539">
        <v>35</v>
      </c>
      <c r="T34" s="524">
        <v>35</v>
      </c>
      <c r="U34" s="524">
        <v>35</v>
      </c>
      <c r="V34" s="524">
        <v>35</v>
      </c>
      <c r="W34" s="524">
        <v>35</v>
      </c>
      <c r="X34" s="524">
        <v>35</v>
      </c>
      <c r="Y34" s="524">
        <v>35</v>
      </c>
      <c r="Z34" s="539">
        <v>35</v>
      </c>
      <c r="AA34" s="524">
        <v>35</v>
      </c>
      <c r="AB34" s="524">
        <v>35</v>
      </c>
    </row>
    <row r="35" spans="1:29" ht="12.75" outlineLevel="1">
      <c r="A35" s="118"/>
      <c r="B35" s="520"/>
      <c r="C35" s="118"/>
      <c r="D35" s="118"/>
      <c r="E35" s="118"/>
      <c r="F35" s="118"/>
      <c r="G35" s="118"/>
      <c r="H35" s="869"/>
      <c r="I35" s="441">
        <v>611174</v>
      </c>
      <c r="J35" s="523" t="s">
        <v>274</v>
      </c>
      <c r="K35" s="524">
        <v>3850</v>
      </c>
      <c r="L35" s="524">
        <v>1122</v>
      </c>
      <c r="M35" s="524">
        <v>1122</v>
      </c>
      <c r="N35" s="524">
        <v>2160</v>
      </c>
      <c r="O35" s="524">
        <v>2380</v>
      </c>
      <c r="P35" s="524">
        <v>2718</v>
      </c>
      <c r="Q35" s="524">
        <v>2865</v>
      </c>
      <c r="R35" s="524">
        <v>2999</v>
      </c>
      <c r="S35" s="527">
        <v>3089</v>
      </c>
      <c r="T35" s="528">
        <v>3058</v>
      </c>
      <c r="U35" s="528">
        <v>3119</v>
      </c>
      <c r="V35" s="528">
        <v>3150</v>
      </c>
      <c r="W35" s="528">
        <v>3182</v>
      </c>
      <c r="X35" s="528">
        <v>3214</v>
      </c>
      <c r="Y35" s="528">
        <v>3182</v>
      </c>
      <c r="Z35" s="527">
        <v>3245</v>
      </c>
      <c r="AA35" s="531">
        <v>3278</v>
      </c>
      <c r="AB35" s="531">
        <v>3310</v>
      </c>
      <c r="AC35" s="118"/>
    </row>
    <row r="36" spans="1:29" ht="12.75" outlineLevel="1">
      <c r="A36" s="118"/>
      <c r="B36" s="520"/>
      <c r="C36" s="118"/>
      <c r="D36" s="118"/>
      <c r="E36" s="118"/>
      <c r="F36" s="118"/>
      <c r="G36" s="118"/>
      <c r="H36" s="869"/>
      <c r="I36" s="441">
        <v>701775</v>
      </c>
      <c r="J36" s="523" t="s">
        <v>275</v>
      </c>
      <c r="K36" s="524">
        <v>1763</v>
      </c>
      <c r="L36" s="524">
        <f>350+333</f>
        <v>683</v>
      </c>
      <c r="M36" s="524">
        <f>350+409</f>
        <v>759</v>
      </c>
      <c r="N36" s="524">
        <f>900+381</f>
        <v>1281</v>
      </c>
      <c r="O36" s="524">
        <v>2327</v>
      </c>
      <c r="P36" s="524">
        <v>1484</v>
      </c>
      <c r="Q36" s="524">
        <v>1498</v>
      </c>
      <c r="R36" s="524">
        <v>3081</v>
      </c>
      <c r="S36" s="527">
        <v>2003</v>
      </c>
      <c r="T36" s="531">
        <v>2163</v>
      </c>
      <c r="U36" s="528">
        <v>3093</v>
      </c>
      <c r="V36" s="528">
        <v>2134</v>
      </c>
      <c r="W36" s="528">
        <v>2262</v>
      </c>
      <c r="X36" s="528">
        <v>3122</v>
      </c>
      <c r="Y36" s="528">
        <v>2060</v>
      </c>
      <c r="Z36" s="527">
        <v>2143</v>
      </c>
      <c r="AA36" s="531">
        <v>3193</v>
      </c>
      <c r="AB36" s="531">
        <v>2011</v>
      </c>
      <c r="AC36" s="118"/>
    </row>
    <row r="37" spans="1:29" ht="12.75" outlineLevel="1">
      <c r="A37" s="118"/>
      <c r="B37" s="520"/>
      <c r="C37" s="118"/>
      <c r="D37" s="118"/>
      <c r="E37" s="118"/>
      <c r="F37" s="118"/>
      <c r="G37" s="118"/>
      <c r="H37" s="869"/>
      <c r="I37" s="441">
        <v>646548</v>
      </c>
      <c r="J37" s="533" t="s">
        <v>277</v>
      </c>
      <c r="K37" s="524">
        <v>38</v>
      </c>
      <c r="L37" s="524">
        <v>90</v>
      </c>
      <c r="M37" s="524">
        <v>9</v>
      </c>
      <c r="N37" s="524">
        <v>21</v>
      </c>
      <c r="O37" s="524">
        <v>115</v>
      </c>
      <c r="P37" s="524">
        <v>21</v>
      </c>
      <c r="Q37" s="524">
        <v>21</v>
      </c>
      <c r="R37" s="524">
        <v>90</v>
      </c>
      <c r="S37" s="535">
        <v>21</v>
      </c>
      <c r="T37" s="536">
        <v>21</v>
      </c>
      <c r="U37" s="536">
        <v>90</v>
      </c>
      <c r="V37" s="536">
        <v>21</v>
      </c>
      <c r="W37" s="536">
        <v>21</v>
      </c>
      <c r="X37" s="524">
        <v>90</v>
      </c>
      <c r="Y37" s="524">
        <v>21</v>
      </c>
      <c r="Z37" s="535">
        <v>21</v>
      </c>
      <c r="AA37" s="524">
        <v>90</v>
      </c>
      <c r="AB37" s="524">
        <v>21</v>
      </c>
    </row>
    <row r="38" spans="1:29" ht="12.75" outlineLevel="1">
      <c r="A38" s="118"/>
      <c r="B38" s="520"/>
      <c r="C38" s="118"/>
      <c r="D38" s="118"/>
      <c r="E38" s="118"/>
      <c r="F38" s="118"/>
      <c r="G38" s="118"/>
      <c r="H38" s="869"/>
      <c r="I38" s="441">
        <v>589462</v>
      </c>
      <c r="J38" s="533" t="s">
        <v>279</v>
      </c>
      <c r="K38" s="524">
        <v>30</v>
      </c>
      <c r="L38" s="524">
        <v>100</v>
      </c>
      <c r="M38" s="524">
        <v>84</v>
      </c>
      <c r="N38" s="524">
        <v>18</v>
      </c>
      <c r="O38" s="524">
        <v>96</v>
      </c>
      <c r="P38" s="524">
        <v>18</v>
      </c>
      <c r="Q38" s="524">
        <v>18</v>
      </c>
      <c r="R38" s="524">
        <v>102</v>
      </c>
      <c r="S38" s="535">
        <v>18</v>
      </c>
      <c r="T38" s="536">
        <v>18</v>
      </c>
      <c r="U38" s="536">
        <v>102</v>
      </c>
      <c r="V38" s="536">
        <v>18</v>
      </c>
      <c r="W38" s="536">
        <v>18</v>
      </c>
      <c r="X38" s="524">
        <v>102</v>
      </c>
      <c r="Y38" s="524">
        <v>18</v>
      </c>
      <c r="Z38" s="535">
        <v>18</v>
      </c>
      <c r="AA38" s="524">
        <v>102</v>
      </c>
      <c r="AB38" s="524">
        <v>18</v>
      </c>
    </row>
    <row r="39" spans="1:29" ht="12.75" outlineLevel="1">
      <c r="A39" s="118"/>
      <c r="B39" s="520"/>
      <c r="C39" s="118"/>
      <c r="D39" s="118"/>
      <c r="E39" s="118"/>
      <c r="F39" s="118"/>
      <c r="G39" s="118"/>
      <c r="H39" s="869"/>
      <c r="I39" s="441">
        <v>589466</v>
      </c>
      <c r="J39" s="533" t="s">
        <v>281</v>
      </c>
      <c r="K39" s="524">
        <v>72</v>
      </c>
      <c r="L39" s="524">
        <v>150</v>
      </c>
      <c r="M39" s="524">
        <v>48</v>
      </c>
      <c r="N39" s="524">
        <v>30</v>
      </c>
      <c r="O39" s="524">
        <v>135</v>
      </c>
      <c r="P39" s="524">
        <v>72</v>
      </c>
      <c r="Q39" s="524">
        <v>30</v>
      </c>
      <c r="R39" s="524">
        <v>150</v>
      </c>
      <c r="S39" s="535">
        <v>72</v>
      </c>
      <c r="T39" s="536">
        <v>30</v>
      </c>
      <c r="U39" s="536">
        <v>150</v>
      </c>
      <c r="V39" s="536">
        <v>72</v>
      </c>
      <c r="W39" s="536">
        <v>30</v>
      </c>
      <c r="X39" s="524">
        <v>150</v>
      </c>
      <c r="Y39" s="524">
        <v>72</v>
      </c>
      <c r="Z39" s="535">
        <v>30</v>
      </c>
      <c r="AA39" s="524">
        <v>150</v>
      </c>
      <c r="AB39" s="524">
        <v>72</v>
      </c>
    </row>
    <row r="40" spans="1:29" ht="12.75" outlineLevel="1">
      <c r="A40" s="118"/>
      <c r="B40" s="520"/>
      <c r="C40" s="118"/>
      <c r="D40" s="118"/>
      <c r="E40" s="118"/>
      <c r="F40" s="118"/>
      <c r="G40" s="118"/>
      <c r="H40" s="869"/>
      <c r="I40" s="441">
        <v>116180</v>
      </c>
      <c r="J40" s="533" t="s">
        <v>282</v>
      </c>
      <c r="K40" s="524">
        <v>30</v>
      </c>
      <c r="L40" s="524">
        <v>400</v>
      </c>
      <c r="M40" s="524">
        <v>529</v>
      </c>
      <c r="N40" s="524">
        <v>51</v>
      </c>
      <c r="O40" s="524">
        <v>82</v>
      </c>
      <c r="P40" s="524">
        <v>400</v>
      </c>
      <c r="Q40" s="524">
        <v>51</v>
      </c>
      <c r="R40" s="524">
        <v>400</v>
      </c>
      <c r="S40" s="535">
        <v>400</v>
      </c>
      <c r="T40" s="536">
        <v>51</v>
      </c>
      <c r="U40" s="536">
        <v>400</v>
      </c>
      <c r="V40" s="536">
        <v>400</v>
      </c>
      <c r="W40" s="536">
        <v>51</v>
      </c>
      <c r="X40" s="524">
        <v>399</v>
      </c>
      <c r="Y40" s="524">
        <v>81</v>
      </c>
      <c r="Z40" s="535">
        <v>51</v>
      </c>
      <c r="AA40" s="524">
        <v>399</v>
      </c>
      <c r="AB40" s="524">
        <v>81</v>
      </c>
    </row>
    <row r="41" spans="1:29" ht="12.75" outlineLevel="1">
      <c r="A41" s="118"/>
      <c r="B41" s="520"/>
      <c r="C41" s="118"/>
      <c r="D41" s="118"/>
      <c r="E41" s="118"/>
      <c r="F41" s="118"/>
      <c r="G41" s="118"/>
      <c r="H41" s="869"/>
      <c r="I41" s="441">
        <v>695413</v>
      </c>
      <c r="J41" s="533" t="s">
        <v>283</v>
      </c>
      <c r="K41" s="524">
        <v>49</v>
      </c>
      <c r="L41" s="524">
        <v>80</v>
      </c>
      <c r="M41" s="524">
        <v>61</v>
      </c>
      <c r="N41" s="524">
        <v>0.1</v>
      </c>
      <c r="O41" s="524">
        <v>161</v>
      </c>
      <c r="P41" s="524">
        <v>50</v>
      </c>
      <c r="Q41" s="524">
        <v>0.1</v>
      </c>
      <c r="R41" s="524">
        <v>78</v>
      </c>
      <c r="S41" s="535">
        <v>50</v>
      </c>
      <c r="T41" s="541">
        <v>0.1</v>
      </c>
      <c r="U41" s="536">
        <v>78</v>
      </c>
      <c r="V41" s="536">
        <v>50</v>
      </c>
      <c r="W41" s="536">
        <v>0.1</v>
      </c>
      <c r="X41" s="524">
        <v>78</v>
      </c>
      <c r="Y41" s="524">
        <v>18</v>
      </c>
      <c r="Z41" s="535">
        <v>0.1</v>
      </c>
      <c r="AA41" s="524">
        <v>78</v>
      </c>
      <c r="AB41" s="524">
        <v>18</v>
      </c>
    </row>
    <row r="42" spans="1:29" ht="12.75" outlineLevel="1">
      <c r="A42" s="118"/>
      <c r="B42" s="520"/>
      <c r="C42" s="118"/>
      <c r="D42" s="118"/>
      <c r="E42" s="118"/>
      <c r="F42" s="118"/>
      <c r="G42" s="118"/>
      <c r="H42" s="869"/>
      <c r="I42" s="441">
        <v>699883</v>
      </c>
      <c r="J42" s="533" t="s">
        <v>284</v>
      </c>
      <c r="K42" s="524">
        <v>26</v>
      </c>
      <c r="L42" s="524">
        <v>80</v>
      </c>
      <c r="M42" s="524">
        <v>0.1</v>
      </c>
      <c r="N42" s="524">
        <v>0.1</v>
      </c>
      <c r="O42" s="524">
        <v>55</v>
      </c>
      <c r="P42" s="524">
        <v>12</v>
      </c>
      <c r="Q42" s="524">
        <v>0.1</v>
      </c>
      <c r="R42" s="524">
        <v>78</v>
      </c>
      <c r="S42" s="535">
        <v>12</v>
      </c>
      <c r="T42" s="536">
        <v>0.1</v>
      </c>
      <c r="U42" s="536">
        <v>78</v>
      </c>
      <c r="V42" s="536">
        <v>12</v>
      </c>
      <c r="W42" s="536">
        <v>0.1</v>
      </c>
      <c r="X42" s="524">
        <v>78</v>
      </c>
      <c r="Y42" s="524">
        <v>12</v>
      </c>
      <c r="Z42" s="535">
        <v>0.1</v>
      </c>
      <c r="AA42" s="524">
        <v>78</v>
      </c>
      <c r="AB42" s="524">
        <v>12</v>
      </c>
    </row>
    <row r="43" spans="1:29" ht="12.75" outlineLevel="1">
      <c r="A43" s="118"/>
      <c r="B43" s="520"/>
      <c r="C43" s="118"/>
      <c r="D43" s="118"/>
      <c r="E43" s="118"/>
      <c r="F43" s="118"/>
      <c r="G43" s="118"/>
      <c r="H43" s="869"/>
      <c r="I43" s="441">
        <v>645380</v>
      </c>
      <c r="J43" s="523" t="s">
        <v>285</v>
      </c>
      <c r="K43" s="524">
        <v>84</v>
      </c>
      <c r="L43" s="524">
        <v>467</v>
      </c>
      <c r="M43" s="524">
        <v>877</v>
      </c>
      <c r="N43" s="7">
        <v>800</v>
      </c>
      <c r="O43" s="524">
        <v>622</v>
      </c>
      <c r="P43" s="524">
        <v>704</v>
      </c>
      <c r="Q43" s="524">
        <v>631</v>
      </c>
      <c r="R43" s="524">
        <v>673</v>
      </c>
      <c r="S43" s="527">
        <v>713</v>
      </c>
      <c r="T43" s="528">
        <v>763</v>
      </c>
      <c r="U43" s="528">
        <v>771</v>
      </c>
      <c r="V43" s="528">
        <v>786</v>
      </c>
      <c r="W43" s="528">
        <v>810</v>
      </c>
      <c r="X43" s="528">
        <v>850</v>
      </c>
      <c r="Y43" s="528">
        <v>859</v>
      </c>
      <c r="Z43" s="527">
        <v>876</v>
      </c>
      <c r="AA43" s="531">
        <v>902</v>
      </c>
      <c r="AB43" s="531">
        <v>911</v>
      </c>
    </row>
    <row r="44" spans="1:29" ht="12.75" outlineLevel="1">
      <c r="A44" s="118"/>
      <c r="B44" s="520"/>
      <c r="C44" s="118"/>
      <c r="D44" s="118"/>
      <c r="E44" s="118"/>
      <c r="F44" s="118"/>
      <c r="G44" s="118"/>
      <c r="H44" s="869"/>
      <c r="I44" s="441">
        <v>578785</v>
      </c>
      <c r="J44" s="533" t="s">
        <v>288</v>
      </c>
      <c r="K44" s="536">
        <v>185</v>
      </c>
      <c r="L44" s="536">
        <v>350</v>
      </c>
      <c r="M44" s="536">
        <v>463</v>
      </c>
      <c r="N44" s="536">
        <v>200</v>
      </c>
      <c r="O44" s="536">
        <v>324</v>
      </c>
      <c r="P44" s="536">
        <v>200</v>
      </c>
      <c r="Q44" s="536">
        <v>200</v>
      </c>
      <c r="R44" s="536">
        <v>350</v>
      </c>
      <c r="S44" s="535">
        <v>200</v>
      </c>
      <c r="T44" s="536">
        <v>200</v>
      </c>
      <c r="U44" s="536">
        <v>350</v>
      </c>
      <c r="V44" s="536">
        <v>200</v>
      </c>
      <c r="W44" s="536">
        <v>200</v>
      </c>
      <c r="X44" s="536">
        <v>350</v>
      </c>
      <c r="Y44" s="536">
        <v>200</v>
      </c>
      <c r="Z44" s="535">
        <v>200</v>
      </c>
      <c r="AA44" s="536">
        <v>350</v>
      </c>
      <c r="AB44" s="536">
        <v>200</v>
      </c>
    </row>
    <row r="45" spans="1:29" ht="12.75" outlineLevel="1">
      <c r="B45" s="426"/>
      <c r="H45" s="870"/>
      <c r="I45" s="942" t="s">
        <v>38</v>
      </c>
      <c r="J45" s="860"/>
      <c r="K45" s="543">
        <f t="shared" ref="K45:AB45" si="5">SUM(K29:K44)</f>
        <v>6937</v>
      </c>
      <c r="L45" s="543">
        <f t="shared" si="5"/>
        <v>5325</v>
      </c>
      <c r="M45" s="543">
        <f t="shared" si="5"/>
        <v>4451.2</v>
      </c>
      <c r="N45" s="543">
        <f t="shared" si="5"/>
        <v>5394.3000000000011</v>
      </c>
      <c r="O45" s="543">
        <f t="shared" si="5"/>
        <v>8081</v>
      </c>
      <c r="P45" s="543">
        <f t="shared" si="5"/>
        <v>6512.1</v>
      </c>
      <c r="Q45" s="543">
        <f t="shared" si="5"/>
        <v>6148.3000000000011</v>
      </c>
      <c r="R45" s="543">
        <f t="shared" si="5"/>
        <v>9880</v>
      </c>
      <c r="S45" s="544">
        <f t="shared" si="5"/>
        <v>7407.1</v>
      </c>
      <c r="T45" s="543">
        <f t="shared" si="5"/>
        <v>7139.3000000000011</v>
      </c>
      <c r="U45" s="543">
        <f t="shared" si="5"/>
        <v>10076</v>
      </c>
      <c r="V45" s="543">
        <f t="shared" si="5"/>
        <v>7671.1</v>
      </c>
      <c r="W45" s="543">
        <f t="shared" si="5"/>
        <v>7398.3000000000011</v>
      </c>
      <c r="X45" s="543">
        <f t="shared" si="5"/>
        <v>10277</v>
      </c>
      <c r="Y45" s="543">
        <f t="shared" si="5"/>
        <v>7350.1</v>
      </c>
      <c r="Z45" s="544">
        <f t="shared" si="5"/>
        <v>7412.3000000000011</v>
      </c>
      <c r="AA45" s="545">
        <f t="shared" si="5"/>
        <v>10466</v>
      </c>
      <c r="AB45" s="545">
        <f t="shared" si="5"/>
        <v>7482.1</v>
      </c>
    </row>
    <row r="46" spans="1:29" ht="12.75">
      <c r="B46" s="426"/>
      <c r="H46" s="428"/>
      <c r="I46" s="428"/>
      <c r="J46" s="428"/>
      <c r="K46" s="428"/>
      <c r="L46" s="428"/>
      <c r="M46" s="428"/>
      <c r="N46" s="428"/>
      <c r="O46" s="428"/>
      <c r="P46" s="428"/>
      <c r="Q46" s="428">
        <f t="shared" ref="Q46:W46" si="6">Q35*1.05</f>
        <v>3008.25</v>
      </c>
      <c r="R46" s="428">
        <f t="shared" si="6"/>
        <v>3148.9500000000003</v>
      </c>
      <c r="S46" s="428">
        <f t="shared" si="6"/>
        <v>3243.4500000000003</v>
      </c>
      <c r="T46" s="428">
        <f t="shared" si="6"/>
        <v>3210.9</v>
      </c>
      <c r="U46" s="428">
        <f t="shared" si="6"/>
        <v>3274.9500000000003</v>
      </c>
      <c r="V46" s="428">
        <f t="shared" si="6"/>
        <v>3307.5</v>
      </c>
      <c r="W46" s="428">
        <f t="shared" si="6"/>
        <v>3341.1000000000004</v>
      </c>
      <c r="X46" s="428"/>
      <c r="Y46" s="428"/>
      <c r="Z46" s="428"/>
    </row>
    <row r="47" spans="1:29" ht="12.75">
      <c r="B47" s="426"/>
      <c r="H47" s="428"/>
      <c r="I47" s="428"/>
      <c r="J47" s="428"/>
      <c r="K47" s="428"/>
      <c r="L47" s="428"/>
      <c r="M47" s="428"/>
      <c r="N47" s="428"/>
      <c r="O47" s="76" t="s">
        <v>294</v>
      </c>
      <c r="P47" s="76" t="s">
        <v>42</v>
      </c>
      <c r="Q47" s="76" t="s">
        <v>42</v>
      </c>
      <c r="R47" s="76" t="s">
        <v>42</v>
      </c>
      <c r="S47" s="77" t="s">
        <v>42</v>
      </c>
      <c r="T47" s="77" t="s">
        <v>42</v>
      </c>
      <c r="U47" s="77" t="s">
        <v>42</v>
      </c>
      <c r="V47" s="77" t="s">
        <v>42</v>
      </c>
      <c r="W47" s="77" t="s">
        <v>42</v>
      </c>
      <c r="X47" s="76" t="s">
        <v>42</v>
      </c>
      <c r="Y47" s="76" t="s">
        <v>42</v>
      </c>
      <c r="Z47" s="77" t="s">
        <v>42</v>
      </c>
      <c r="AA47" s="77" t="s">
        <v>42</v>
      </c>
      <c r="AB47" s="77" t="s">
        <v>42</v>
      </c>
    </row>
    <row r="48" spans="1:29" ht="12.75" outlineLevel="1">
      <c r="A48" s="106" t="s">
        <v>45</v>
      </c>
      <c r="B48" s="106" t="s">
        <v>46</v>
      </c>
      <c r="C48" s="106" t="s">
        <v>48</v>
      </c>
      <c r="D48" s="106" t="s">
        <v>52</v>
      </c>
      <c r="E48" s="108" t="s">
        <v>53</v>
      </c>
      <c r="F48" s="107" t="s">
        <v>50</v>
      </c>
      <c r="G48" s="107"/>
      <c r="H48" s="943" t="s">
        <v>299</v>
      </c>
      <c r="I48" s="879"/>
      <c r="J48" s="860"/>
      <c r="K48" s="269" t="s">
        <v>17</v>
      </c>
      <c r="L48" s="269" t="s">
        <v>18</v>
      </c>
      <c r="M48" s="269" t="s">
        <v>19</v>
      </c>
      <c r="N48" s="269" t="s">
        <v>20</v>
      </c>
      <c r="O48" s="269" t="s">
        <v>21</v>
      </c>
      <c r="P48" s="269" t="s">
        <v>22</v>
      </c>
      <c r="Q48" s="269" t="s">
        <v>23</v>
      </c>
      <c r="R48" s="269" t="s">
        <v>107</v>
      </c>
      <c r="S48" s="274" t="s">
        <v>25</v>
      </c>
      <c r="T48" s="253" t="s">
        <v>26</v>
      </c>
      <c r="U48" s="253" t="s">
        <v>15</v>
      </c>
      <c r="V48" s="253" t="s">
        <v>16</v>
      </c>
      <c r="W48" s="253" t="s">
        <v>17</v>
      </c>
      <c r="X48" s="269" t="s">
        <v>18</v>
      </c>
      <c r="Y48" s="269" t="s">
        <v>19</v>
      </c>
      <c r="Z48" s="274" t="s">
        <v>20</v>
      </c>
      <c r="AA48" s="253" t="s">
        <v>21</v>
      </c>
      <c r="AB48" s="253" t="s">
        <v>22</v>
      </c>
    </row>
    <row r="49" spans="1:28" ht="12.75" outlineLevel="1">
      <c r="A49" s="118">
        <v>227</v>
      </c>
      <c r="B49" s="520">
        <v>81</v>
      </c>
      <c r="C49" s="520">
        <v>0</v>
      </c>
      <c r="D49" s="7">
        <v>498</v>
      </c>
      <c r="E49" s="118">
        <f t="shared" ref="E49:E64" si="7">A49+B49+C49+D49</f>
        <v>806</v>
      </c>
      <c r="F49" s="256">
        <f t="shared" ref="F49:F64" si="8">E49-(S29/31*11)</f>
        <v>759.16129032258061</v>
      </c>
      <c r="G49" s="256">
        <f t="shared" ref="G49:G64" si="9">F49-S49</f>
        <v>-379.83870967741939</v>
      </c>
      <c r="H49" s="944" t="s">
        <v>51</v>
      </c>
      <c r="I49" s="441">
        <v>117547</v>
      </c>
      <c r="J49" s="533" t="s">
        <v>261</v>
      </c>
      <c r="K49" s="553">
        <v>64</v>
      </c>
      <c r="L49" s="553">
        <v>0</v>
      </c>
      <c r="M49" s="553">
        <v>633</v>
      </c>
      <c r="N49" s="553">
        <v>538.90322580645159</v>
      </c>
      <c r="O49" s="553">
        <v>793</v>
      </c>
      <c r="P49" s="553">
        <v>900</v>
      </c>
      <c r="Q49" s="553">
        <v>1061</v>
      </c>
      <c r="R49" s="553">
        <v>916</v>
      </c>
      <c r="S49" s="554">
        <v>1139</v>
      </c>
      <c r="T49" s="555">
        <f t="shared" ref="T49:AB49" si="10">S49+T7-T29</f>
        <v>1361</v>
      </c>
      <c r="U49" s="555">
        <f t="shared" si="10"/>
        <v>1232</v>
      </c>
      <c r="V49" s="555">
        <f t="shared" si="10"/>
        <v>1173</v>
      </c>
      <c r="W49" s="555">
        <f t="shared" si="10"/>
        <v>1046</v>
      </c>
      <c r="X49" s="553">
        <f t="shared" si="10"/>
        <v>918</v>
      </c>
      <c r="Y49" s="553">
        <f t="shared" si="10"/>
        <v>788</v>
      </c>
      <c r="Z49" s="554">
        <f t="shared" si="10"/>
        <v>741</v>
      </c>
      <c r="AA49" s="555">
        <f t="shared" si="10"/>
        <v>611</v>
      </c>
      <c r="AB49" s="555">
        <f t="shared" si="10"/>
        <v>480</v>
      </c>
    </row>
    <row r="50" spans="1:28" ht="12.75" outlineLevel="1">
      <c r="A50" s="118">
        <v>4781</v>
      </c>
      <c r="B50" s="520">
        <v>0</v>
      </c>
      <c r="C50" s="520">
        <v>0</v>
      </c>
      <c r="D50" s="520">
        <v>0</v>
      </c>
      <c r="E50" s="118">
        <f t="shared" si="7"/>
        <v>4781</v>
      </c>
      <c r="F50" s="256">
        <f t="shared" si="8"/>
        <v>4570.5806451612907</v>
      </c>
      <c r="G50" s="256">
        <f t="shared" si="9"/>
        <v>-49.419354838709296</v>
      </c>
      <c r="H50" s="869"/>
      <c r="I50" s="441">
        <v>552897</v>
      </c>
      <c r="J50" s="533" t="s">
        <v>269</v>
      </c>
      <c r="K50" s="553">
        <v>6566</v>
      </c>
      <c r="L50" s="553">
        <v>6731</v>
      </c>
      <c r="M50" s="553">
        <v>6712</v>
      </c>
      <c r="N50" s="553">
        <v>6280.9677419354839</v>
      </c>
      <c r="O50" s="553">
        <v>5522</v>
      </c>
      <c r="P50" s="553">
        <v>5124</v>
      </c>
      <c r="Q50" s="553">
        <v>4663</v>
      </c>
      <c r="R50" s="553">
        <v>3513</v>
      </c>
      <c r="S50" s="554">
        <v>4620</v>
      </c>
      <c r="T50" s="555">
        <f t="shared" ref="T50:AB50" si="11">S50+T8-T30</f>
        <v>4180</v>
      </c>
      <c r="U50" s="555">
        <f t="shared" si="11"/>
        <v>4227</v>
      </c>
      <c r="V50" s="555">
        <f t="shared" si="11"/>
        <v>3634</v>
      </c>
      <c r="W50" s="555">
        <f t="shared" si="11"/>
        <v>3041</v>
      </c>
      <c r="X50" s="553">
        <f t="shared" si="11"/>
        <v>3688</v>
      </c>
      <c r="Y50" s="553">
        <f t="shared" si="11"/>
        <v>3095</v>
      </c>
      <c r="Z50" s="554">
        <f t="shared" si="11"/>
        <v>2502</v>
      </c>
      <c r="AA50" s="555">
        <f t="shared" si="11"/>
        <v>1049</v>
      </c>
      <c r="AB50" s="555">
        <f t="shared" si="11"/>
        <v>456</v>
      </c>
    </row>
    <row r="51" spans="1:28" ht="12.75" outlineLevel="1">
      <c r="A51" s="118">
        <v>492</v>
      </c>
      <c r="B51" s="520">
        <v>0</v>
      </c>
      <c r="C51" s="520">
        <v>0</v>
      </c>
      <c r="D51" s="520">
        <v>0</v>
      </c>
      <c r="E51" s="118">
        <f t="shared" si="7"/>
        <v>492</v>
      </c>
      <c r="F51" s="256">
        <f t="shared" si="8"/>
        <v>481.35483870967744</v>
      </c>
      <c r="G51" s="256">
        <f t="shared" si="9"/>
        <v>-4.6451612903225623</v>
      </c>
      <c r="H51" s="869"/>
      <c r="I51" s="441">
        <v>117771</v>
      </c>
      <c r="J51" s="533" t="s">
        <v>270</v>
      </c>
      <c r="K51" s="553">
        <v>282</v>
      </c>
      <c r="L51" s="553">
        <v>165</v>
      </c>
      <c r="M51" s="553">
        <v>162</v>
      </c>
      <c r="N51" s="553">
        <v>146.25806451612902</v>
      </c>
      <c r="O51" s="553">
        <v>282</v>
      </c>
      <c r="P51" s="553">
        <v>480</v>
      </c>
      <c r="Q51" s="553">
        <v>471</v>
      </c>
      <c r="R51" s="553">
        <v>346</v>
      </c>
      <c r="S51" s="554">
        <v>486</v>
      </c>
      <c r="T51" s="555">
        <f t="shared" ref="T51:AB51" si="12">S51+T9-T31</f>
        <v>456</v>
      </c>
      <c r="U51" s="555">
        <f t="shared" si="12"/>
        <v>366</v>
      </c>
      <c r="V51" s="555">
        <f t="shared" si="12"/>
        <v>336</v>
      </c>
      <c r="W51" s="555">
        <f t="shared" si="12"/>
        <v>306</v>
      </c>
      <c r="X51" s="553">
        <f t="shared" si="12"/>
        <v>306</v>
      </c>
      <c r="Y51" s="553">
        <f t="shared" si="12"/>
        <v>276</v>
      </c>
      <c r="Z51" s="554">
        <f t="shared" si="12"/>
        <v>246</v>
      </c>
      <c r="AA51" s="555">
        <f t="shared" si="12"/>
        <v>126</v>
      </c>
      <c r="AB51" s="555">
        <f t="shared" si="12"/>
        <v>96</v>
      </c>
    </row>
    <row r="52" spans="1:28" ht="12.75" outlineLevel="1">
      <c r="A52" s="118">
        <v>226</v>
      </c>
      <c r="B52" s="520">
        <v>0</v>
      </c>
      <c r="C52" s="520">
        <v>0</v>
      </c>
      <c r="D52" s="520">
        <v>0</v>
      </c>
      <c r="E52" s="118">
        <f t="shared" si="7"/>
        <v>226</v>
      </c>
      <c r="F52" s="256">
        <f t="shared" si="8"/>
        <v>212.16129032258064</v>
      </c>
      <c r="G52" s="256">
        <f t="shared" si="9"/>
        <v>-13.838709677419359</v>
      </c>
      <c r="H52" s="869"/>
      <c r="I52" s="441">
        <v>646546</v>
      </c>
      <c r="J52" s="533" t="s">
        <v>271</v>
      </c>
      <c r="K52" s="553">
        <v>84</v>
      </c>
      <c r="L52" s="553">
        <v>67</v>
      </c>
      <c r="M52" s="553">
        <v>67</v>
      </c>
      <c r="N52" s="553">
        <v>37.935483870967744</v>
      </c>
      <c r="O52" s="553">
        <v>149</v>
      </c>
      <c r="P52" s="553">
        <v>308</v>
      </c>
      <c r="Q52" s="553">
        <v>291</v>
      </c>
      <c r="R52" s="553">
        <v>240</v>
      </c>
      <c r="S52" s="554">
        <v>226</v>
      </c>
      <c r="T52" s="555">
        <f t="shared" ref="T52:AB52" si="13">S52+T10-T32</f>
        <v>187</v>
      </c>
      <c r="U52" s="555">
        <f t="shared" si="13"/>
        <v>148</v>
      </c>
      <c r="V52" s="555">
        <f t="shared" si="13"/>
        <v>160</v>
      </c>
      <c r="W52" s="555">
        <f t="shared" si="13"/>
        <v>127</v>
      </c>
      <c r="X52" s="553">
        <f t="shared" si="13"/>
        <v>133</v>
      </c>
      <c r="Y52" s="553">
        <f t="shared" si="13"/>
        <v>130</v>
      </c>
      <c r="Z52" s="554">
        <f t="shared" si="13"/>
        <v>142</v>
      </c>
      <c r="AA52" s="555">
        <f t="shared" si="13"/>
        <v>103</v>
      </c>
      <c r="AB52" s="555">
        <f t="shared" si="13"/>
        <v>64</v>
      </c>
    </row>
    <row r="53" spans="1:28" ht="12.75" outlineLevel="1">
      <c r="A53" s="118">
        <v>2</v>
      </c>
      <c r="B53" s="520">
        <v>0</v>
      </c>
      <c r="C53" s="520">
        <v>0</v>
      </c>
      <c r="D53" s="520">
        <v>0</v>
      </c>
      <c r="E53" s="118">
        <f t="shared" si="7"/>
        <v>2</v>
      </c>
      <c r="F53" s="256">
        <f t="shared" si="8"/>
        <v>1.9645161290322581</v>
      </c>
      <c r="G53" s="256">
        <f t="shared" si="9"/>
        <v>-3.548387096774186E-2</v>
      </c>
      <c r="H53" s="869"/>
      <c r="I53" s="441">
        <v>646567</v>
      </c>
      <c r="J53" s="533" t="s">
        <v>272</v>
      </c>
      <c r="K53" s="553">
        <v>111</v>
      </c>
      <c r="L53" s="553">
        <v>50</v>
      </c>
      <c r="M53" s="553">
        <v>119</v>
      </c>
      <c r="N53" s="553">
        <v>118.97419354838709</v>
      </c>
      <c r="O53" s="553">
        <v>85</v>
      </c>
      <c r="P53" s="553">
        <v>85</v>
      </c>
      <c r="Q53" s="553">
        <v>63</v>
      </c>
      <c r="R53" s="553">
        <v>2</v>
      </c>
      <c r="S53" s="554">
        <v>2</v>
      </c>
      <c r="T53" s="555">
        <f t="shared" ref="T53:AB53" si="14">S53+T11-T33</f>
        <v>289.89999999999998</v>
      </c>
      <c r="U53" s="555">
        <f t="shared" si="14"/>
        <v>220.89999999999998</v>
      </c>
      <c r="V53" s="555">
        <f t="shared" si="14"/>
        <v>220.79999999999998</v>
      </c>
      <c r="W53" s="555">
        <f t="shared" si="14"/>
        <v>220.7</v>
      </c>
      <c r="X53" s="553">
        <f t="shared" si="14"/>
        <v>151.69999999999999</v>
      </c>
      <c r="Y53" s="553">
        <f t="shared" si="14"/>
        <v>151.6</v>
      </c>
      <c r="Z53" s="554">
        <f t="shared" si="14"/>
        <v>220.5</v>
      </c>
      <c r="AA53" s="555">
        <f t="shared" si="14"/>
        <v>151.5</v>
      </c>
      <c r="AB53" s="555">
        <f t="shared" si="14"/>
        <v>151.4</v>
      </c>
    </row>
    <row r="54" spans="1:28" ht="12.75" outlineLevel="1">
      <c r="A54" s="118">
        <v>180</v>
      </c>
      <c r="B54" s="520">
        <v>0</v>
      </c>
      <c r="C54" s="520">
        <v>0</v>
      </c>
      <c r="D54" s="520">
        <v>0</v>
      </c>
      <c r="E54" s="118">
        <f t="shared" si="7"/>
        <v>180</v>
      </c>
      <c r="F54" s="256">
        <f t="shared" si="8"/>
        <v>167.58064516129033</v>
      </c>
      <c r="G54" s="256">
        <f t="shared" si="9"/>
        <v>-2.4193548387096655</v>
      </c>
      <c r="H54" s="869"/>
      <c r="I54" s="441">
        <v>691217</v>
      </c>
      <c r="J54" s="533" t="s">
        <v>273</v>
      </c>
      <c r="K54" s="553">
        <v>12</v>
      </c>
      <c r="L54" s="553">
        <v>0</v>
      </c>
      <c r="M54" s="553">
        <v>1</v>
      </c>
      <c r="N54" s="553">
        <v>16.580645161290324</v>
      </c>
      <c r="O54" s="553">
        <v>171</v>
      </c>
      <c r="P54" s="553">
        <v>242</v>
      </c>
      <c r="Q54" s="553">
        <v>217</v>
      </c>
      <c r="R54" s="553">
        <v>193</v>
      </c>
      <c r="S54" s="554">
        <v>170</v>
      </c>
      <c r="T54" s="555">
        <f t="shared" ref="T54:AB54" si="15">S54+T12-T34</f>
        <v>183</v>
      </c>
      <c r="U54" s="555">
        <f t="shared" si="15"/>
        <v>148</v>
      </c>
      <c r="V54" s="555">
        <f t="shared" si="15"/>
        <v>149</v>
      </c>
      <c r="W54" s="555">
        <f t="shared" si="15"/>
        <v>114</v>
      </c>
      <c r="X54" s="553">
        <f t="shared" si="15"/>
        <v>127</v>
      </c>
      <c r="Y54" s="553">
        <f t="shared" si="15"/>
        <v>92</v>
      </c>
      <c r="Z54" s="554">
        <f t="shared" si="15"/>
        <v>129</v>
      </c>
      <c r="AA54" s="555">
        <f t="shared" si="15"/>
        <v>94</v>
      </c>
      <c r="AB54" s="555">
        <f t="shared" si="15"/>
        <v>59</v>
      </c>
    </row>
    <row r="55" spans="1:28" ht="12.75" outlineLevel="1">
      <c r="A55" s="118">
        <v>8102</v>
      </c>
      <c r="B55" s="520">
        <v>24</v>
      </c>
      <c r="C55" s="520">
        <v>0</v>
      </c>
      <c r="D55" s="118">
        <v>1121</v>
      </c>
      <c r="E55" s="118">
        <f t="shared" si="7"/>
        <v>9247</v>
      </c>
      <c r="F55" s="256">
        <f t="shared" si="8"/>
        <v>8150.9032258064517</v>
      </c>
      <c r="G55" s="256">
        <f t="shared" si="9"/>
        <v>-32.096774193548299</v>
      </c>
      <c r="H55" s="869"/>
      <c r="I55" s="441">
        <v>611174</v>
      </c>
      <c r="J55" s="533" t="s">
        <v>274</v>
      </c>
      <c r="K55" s="553">
        <v>0</v>
      </c>
      <c r="L55" s="553">
        <v>1</v>
      </c>
      <c r="M55" s="553">
        <v>0</v>
      </c>
      <c r="N55" s="553">
        <v>9714.2580645161288</v>
      </c>
      <c r="O55" s="553">
        <v>9554</v>
      </c>
      <c r="P55" s="553">
        <v>5224</v>
      </c>
      <c r="Q55" s="553">
        <v>2323</v>
      </c>
      <c r="R55" s="553">
        <v>11318</v>
      </c>
      <c r="S55" s="554">
        <v>8183</v>
      </c>
      <c r="T55" s="555">
        <f t="shared" ref="T55:AB55" si="16">S55+T13-T35</f>
        <v>17317</v>
      </c>
      <c r="U55" s="555">
        <f t="shared" si="16"/>
        <v>14198</v>
      </c>
      <c r="V55" s="555">
        <f t="shared" si="16"/>
        <v>11048</v>
      </c>
      <c r="W55" s="555">
        <f t="shared" si="16"/>
        <v>7866</v>
      </c>
      <c r="X55" s="553">
        <f t="shared" si="16"/>
        <v>28652</v>
      </c>
      <c r="Y55" s="553">
        <f t="shared" si="16"/>
        <v>25470</v>
      </c>
      <c r="Z55" s="554">
        <f t="shared" si="16"/>
        <v>22225</v>
      </c>
      <c r="AA55" s="555">
        <f t="shared" si="16"/>
        <v>18947</v>
      </c>
      <c r="AB55" s="555">
        <f t="shared" si="16"/>
        <v>15637</v>
      </c>
    </row>
    <row r="56" spans="1:28" ht="12.75" outlineLevel="1">
      <c r="A56" s="118">
        <v>2844</v>
      </c>
      <c r="B56" s="520">
        <v>180</v>
      </c>
      <c r="C56" s="520">
        <v>0</v>
      </c>
      <c r="D56" s="7">
        <v>744</v>
      </c>
      <c r="E56" s="118">
        <f t="shared" si="7"/>
        <v>3768</v>
      </c>
      <c r="F56" s="256">
        <f t="shared" si="8"/>
        <v>3057.2580645161288</v>
      </c>
      <c r="G56" s="256">
        <f t="shared" si="9"/>
        <v>-204.7419354838712</v>
      </c>
      <c r="H56" s="869"/>
      <c r="I56" s="441">
        <v>701775</v>
      </c>
      <c r="J56" s="533" t="s">
        <v>275</v>
      </c>
      <c r="K56" s="553">
        <v>4395</v>
      </c>
      <c r="L56" s="553">
        <v>2383</v>
      </c>
      <c r="M56" s="553">
        <v>1702</v>
      </c>
      <c r="N56" s="553">
        <v>635.77419354838707</v>
      </c>
      <c r="O56" s="553">
        <v>8127</v>
      </c>
      <c r="P56" s="553">
        <v>8624</v>
      </c>
      <c r="Q56" s="553">
        <v>7167</v>
      </c>
      <c r="R56" s="553">
        <v>4719</v>
      </c>
      <c r="S56" s="554">
        <v>3262</v>
      </c>
      <c r="T56" s="555">
        <f t="shared" ref="T56:AB56" si="17">S56+T14-T36</f>
        <v>5707</v>
      </c>
      <c r="U56" s="555">
        <f t="shared" si="17"/>
        <v>2614</v>
      </c>
      <c r="V56" s="555">
        <f t="shared" si="17"/>
        <v>3480</v>
      </c>
      <c r="W56" s="555">
        <f t="shared" si="17"/>
        <v>1218</v>
      </c>
      <c r="X56" s="553">
        <f t="shared" si="17"/>
        <v>-464</v>
      </c>
      <c r="Y56" s="553">
        <f t="shared" si="17"/>
        <v>2396</v>
      </c>
      <c r="Z56" s="554">
        <f t="shared" si="17"/>
        <v>5053</v>
      </c>
      <c r="AA56" s="555">
        <f t="shared" si="17"/>
        <v>8340</v>
      </c>
      <c r="AB56" s="555">
        <f t="shared" si="17"/>
        <v>6329</v>
      </c>
    </row>
    <row r="57" spans="1:28" ht="12.75" outlineLevel="1">
      <c r="A57" s="118">
        <v>152</v>
      </c>
      <c r="B57" s="520">
        <v>0</v>
      </c>
      <c r="C57" s="520">
        <v>0</v>
      </c>
      <c r="D57" s="520">
        <v>0</v>
      </c>
      <c r="E57" s="118">
        <f t="shared" si="7"/>
        <v>152</v>
      </c>
      <c r="F57" s="256">
        <f t="shared" si="8"/>
        <v>144.54838709677421</v>
      </c>
      <c r="G57" s="256">
        <f t="shared" si="9"/>
        <v>0.54838709677420638</v>
      </c>
      <c r="H57" s="869"/>
      <c r="I57" s="441">
        <v>646548</v>
      </c>
      <c r="J57" s="533" t="s">
        <v>277</v>
      </c>
      <c r="K57" s="553">
        <v>117</v>
      </c>
      <c r="L57" s="553">
        <v>18</v>
      </c>
      <c r="M57" s="553">
        <v>177</v>
      </c>
      <c r="N57" s="553">
        <v>165.58064516129033</v>
      </c>
      <c r="O57" s="553">
        <v>78</v>
      </c>
      <c r="P57" s="553">
        <v>231</v>
      </c>
      <c r="Q57" s="553">
        <v>221</v>
      </c>
      <c r="R57" s="553">
        <v>116</v>
      </c>
      <c r="S57" s="554">
        <v>144</v>
      </c>
      <c r="T57" s="555">
        <f t="shared" ref="T57:AB57" si="18">S57+T15-T37</f>
        <v>123</v>
      </c>
      <c r="U57" s="555">
        <f t="shared" si="18"/>
        <v>195</v>
      </c>
      <c r="V57" s="555">
        <f t="shared" si="18"/>
        <v>174</v>
      </c>
      <c r="W57" s="555">
        <f t="shared" si="18"/>
        <v>153</v>
      </c>
      <c r="X57" s="553">
        <f t="shared" si="18"/>
        <v>198</v>
      </c>
      <c r="Y57" s="553">
        <f t="shared" si="18"/>
        <v>177</v>
      </c>
      <c r="Z57" s="554">
        <f t="shared" si="18"/>
        <v>204</v>
      </c>
      <c r="AA57" s="555">
        <f t="shared" si="18"/>
        <v>114</v>
      </c>
      <c r="AB57" s="555">
        <f t="shared" si="18"/>
        <v>93</v>
      </c>
    </row>
    <row r="58" spans="1:28" ht="12.75" outlineLevel="1">
      <c r="A58" s="118">
        <v>249</v>
      </c>
      <c r="B58" s="520">
        <v>0</v>
      </c>
      <c r="C58" s="520">
        <v>0</v>
      </c>
      <c r="D58" s="520">
        <v>0</v>
      </c>
      <c r="E58" s="118">
        <f t="shared" si="7"/>
        <v>249</v>
      </c>
      <c r="F58" s="256">
        <f t="shared" si="8"/>
        <v>242.61290322580646</v>
      </c>
      <c r="G58" s="256">
        <f t="shared" si="9"/>
        <v>-6.3870967741935374</v>
      </c>
      <c r="H58" s="869"/>
      <c r="I58" s="441">
        <v>589462</v>
      </c>
      <c r="J58" s="533" t="s">
        <v>279</v>
      </c>
      <c r="K58" s="553">
        <v>150</v>
      </c>
      <c r="L58" s="553">
        <v>87</v>
      </c>
      <c r="M58" s="553">
        <v>249</v>
      </c>
      <c r="N58" s="553">
        <v>244.35483870967741</v>
      </c>
      <c r="O58" s="553">
        <v>213</v>
      </c>
      <c r="P58" s="553">
        <v>345</v>
      </c>
      <c r="Q58" s="553">
        <v>345</v>
      </c>
      <c r="R58" s="553">
        <v>249</v>
      </c>
      <c r="S58" s="554">
        <v>249</v>
      </c>
      <c r="T58" s="555">
        <f t="shared" ref="T58:AB58" si="19">S58+T16-T38</f>
        <v>399</v>
      </c>
      <c r="U58" s="555">
        <f t="shared" si="19"/>
        <v>297</v>
      </c>
      <c r="V58" s="555">
        <f t="shared" si="19"/>
        <v>279</v>
      </c>
      <c r="W58" s="555">
        <f t="shared" si="19"/>
        <v>321</v>
      </c>
      <c r="X58" s="553">
        <f t="shared" si="19"/>
        <v>279</v>
      </c>
      <c r="Y58" s="553">
        <f t="shared" si="19"/>
        <v>261</v>
      </c>
      <c r="Z58" s="554">
        <f t="shared" si="19"/>
        <v>243</v>
      </c>
      <c r="AA58" s="555">
        <f t="shared" si="19"/>
        <v>141</v>
      </c>
      <c r="AB58" s="555">
        <f t="shared" si="19"/>
        <v>123</v>
      </c>
    </row>
    <row r="59" spans="1:28" ht="12.75" outlineLevel="1">
      <c r="A59" s="573">
        <v>1</v>
      </c>
      <c r="B59" s="520">
        <v>0</v>
      </c>
      <c r="C59" s="520">
        <v>0</v>
      </c>
      <c r="D59" s="520">
        <v>0</v>
      </c>
      <c r="E59" s="118">
        <f t="shared" si="7"/>
        <v>1</v>
      </c>
      <c r="F59" s="256">
        <f t="shared" si="8"/>
        <v>-24.548387096774196</v>
      </c>
      <c r="G59" s="256">
        <f t="shared" si="9"/>
        <v>-25.548387096774196</v>
      </c>
      <c r="H59" s="869"/>
      <c r="I59" s="441">
        <v>589466</v>
      </c>
      <c r="J59" s="533" t="s">
        <v>281</v>
      </c>
      <c r="K59" s="553">
        <v>186</v>
      </c>
      <c r="L59" s="553">
        <v>12</v>
      </c>
      <c r="M59" s="553">
        <v>137</v>
      </c>
      <c r="N59" s="553">
        <v>129.25806451612902</v>
      </c>
      <c r="O59" s="553">
        <v>41</v>
      </c>
      <c r="P59" s="553">
        <v>200</v>
      </c>
      <c r="Q59" s="553">
        <v>200</v>
      </c>
      <c r="R59" s="553">
        <v>1</v>
      </c>
      <c r="S59" s="554">
        <v>1</v>
      </c>
      <c r="T59" s="555">
        <f t="shared" ref="T59:AB59" si="20">S59+T17-T39</f>
        <v>343</v>
      </c>
      <c r="U59" s="555">
        <f t="shared" si="20"/>
        <v>193</v>
      </c>
      <c r="V59" s="555">
        <f t="shared" si="20"/>
        <v>121</v>
      </c>
      <c r="W59" s="555">
        <f t="shared" si="20"/>
        <v>91</v>
      </c>
      <c r="X59" s="553">
        <f t="shared" si="20"/>
        <v>361</v>
      </c>
      <c r="Y59" s="553">
        <f t="shared" si="20"/>
        <v>289</v>
      </c>
      <c r="Z59" s="554">
        <f t="shared" si="20"/>
        <v>259</v>
      </c>
      <c r="AA59" s="555">
        <f t="shared" si="20"/>
        <v>109</v>
      </c>
      <c r="AB59" s="555">
        <f t="shared" si="20"/>
        <v>37</v>
      </c>
    </row>
    <row r="60" spans="1:28" ht="12.75" outlineLevel="1">
      <c r="A60" s="573">
        <v>434</v>
      </c>
      <c r="B60" s="520">
        <v>0</v>
      </c>
      <c r="C60" s="520">
        <v>0</v>
      </c>
      <c r="D60" s="520">
        <v>0</v>
      </c>
      <c r="E60" s="118">
        <f t="shared" si="7"/>
        <v>434</v>
      </c>
      <c r="F60" s="256">
        <f t="shared" si="8"/>
        <v>292.06451612903226</v>
      </c>
      <c r="G60" s="256">
        <f t="shared" si="9"/>
        <v>-141.93548387096774</v>
      </c>
      <c r="H60" s="869"/>
      <c r="I60" s="441">
        <v>116180</v>
      </c>
      <c r="J60" s="533" t="s">
        <v>282</v>
      </c>
      <c r="K60" s="553">
        <v>108</v>
      </c>
      <c r="L60" s="553">
        <v>10</v>
      </c>
      <c r="M60" s="553">
        <v>12</v>
      </c>
      <c r="N60" s="553">
        <v>22</v>
      </c>
      <c r="O60" s="553">
        <v>39</v>
      </c>
      <c r="P60" s="553">
        <v>400</v>
      </c>
      <c r="Q60" s="553">
        <v>399</v>
      </c>
      <c r="R60" s="553">
        <v>16</v>
      </c>
      <c r="S60" s="554">
        <v>434</v>
      </c>
      <c r="T60" s="555">
        <f t="shared" ref="T60:AB60" si="21">S60+T18-T40</f>
        <v>383</v>
      </c>
      <c r="U60" s="555">
        <f t="shared" si="21"/>
        <v>1423</v>
      </c>
      <c r="V60" s="555">
        <f t="shared" si="21"/>
        <v>1353</v>
      </c>
      <c r="W60" s="555">
        <f t="shared" si="21"/>
        <v>1302</v>
      </c>
      <c r="X60" s="553">
        <f t="shared" si="21"/>
        <v>1293</v>
      </c>
      <c r="Y60" s="553">
        <f t="shared" si="21"/>
        <v>1212</v>
      </c>
      <c r="Z60" s="554">
        <f t="shared" si="21"/>
        <v>1161</v>
      </c>
      <c r="AA60" s="555">
        <f t="shared" si="21"/>
        <v>762</v>
      </c>
      <c r="AB60" s="555">
        <f t="shared" si="21"/>
        <v>681</v>
      </c>
    </row>
    <row r="61" spans="1:28" ht="12.75" outlineLevel="1">
      <c r="A61" s="118">
        <v>88</v>
      </c>
      <c r="B61" s="520">
        <v>0</v>
      </c>
      <c r="C61" s="520">
        <v>0</v>
      </c>
      <c r="D61" s="520">
        <v>0</v>
      </c>
      <c r="E61" s="118">
        <f t="shared" si="7"/>
        <v>88</v>
      </c>
      <c r="F61" s="256">
        <f t="shared" si="8"/>
        <v>70.258064516129025</v>
      </c>
      <c r="G61" s="256">
        <f t="shared" si="9"/>
        <v>-11.741935483870975</v>
      </c>
      <c r="H61" s="869"/>
      <c r="I61" s="441">
        <v>695413</v>
      </c>
      <c r="J61" s="533" t="s">
        <v>283</v>
      </c>
      <c r="K61" s="553">
        <v>102</v>
      </c>
      <c r="L61" s="553">
        <v>10</v>
      </c>
      <c r="M61" s="553">
        <v>190</v>
      </c>
      <c r="N61" s="553">
        <v>164.97419354838709</v>
      </c>
      <c r="O61" s="553">
        <v>123</v>
      </c>
      <c r="P61" s="553">
        <v>213</v>
      </c>
      <c r="Q61" s="553">
        <v>197</v>
      </c>
      <c r="R61" s="553">
        <v>46</v>
      </c>
      <c r="S61" s="554">
        <v>82</v>
      </c>
      <c r="T61" s="555">
        <f t="shared" ref="T61:AB61" si="22">S61+T19-T41</f>
        <v>81.900000000000006</v>
      </c>
      <c r="U61" s="555">
        <f t="shared" si="22"/>
        <v>51.900000000000006</v>
      </c>
      <c r="V61" s="555">
        <f t="shared" si="22"/>
        <v>97.9</v>
      </c>
      <c r="W61" s="555">
        <f t="shared" si="22"/>
        <v>97.800000000000011</v>
      </c>
      <c r="X61" s="553">
        <f t="shared" si="22"/>
        <v>115.80000000000001</v>
      </c>
      <c r="Y61" s="553">
        <f t="shared" si="22"/>
        <v>97.800000000000011</v>
      </c>
      <c r="Z61" s="554">
        <f t="shared" si="22"/>
        <v>193.70000000000002</v>
      </c>
      <c r="AA61" s="555">
        <f t="shared" si="22"/>
        <v>115.70000000000002</v>
      </c>
      <c r="AB61" s="555">
        <f t="shared" si="22"/>
        <v>97.700000000000017</v>
      </c>
    </row>
    <row r="62" spans="1:28" ht="12.75" outlineLevel="1">
      <c r="A62" s="118">
        <v>291</v>
      </c>
      <c r="B62" s="520">
        <v>0</v>
      </c>
      <c r="C62" s="520">
        <v>0</v>
      </c>
      <c r="D62" s="520">
        <v>0</v>
      </c>
      <c r="E62" s="118">
        <f t="shared" si="7"/>
        <v>291</v>
      </c>
      <c r="F62" s="256">
        <f t="shared" si="8"/>
        <v>286.74193548387098</v>
      </c>
      <c r="G62" s="256">
        <f t="shared" si="9"/>
        <v>-4.2580645161290249</v>
      </c>
      <c r="H62" s="869"/>
      <c r="I62" s="441">
        <v>699883</v>
      </c>
      <c r="J62" s="533" t="s">
        <v>284</v>
      </c>
      <c r="K62" s="553">
        <v>96</v>
      </c>
      <c r="L62" s="553">
        <v>20</v>
      </c>
      <c r="M62" s="553">
        <v>152</v>
      </c>
      <c r="N62" s="553">
        <v>152.97419354838709</v>
      </c>
      <c r="O62" s="553">
        <v>187</v>
      </c>
      <c r="P62" s="553">
        <v>331</v>
      </c>
      <c r="Q62" s="553">
        <v>331</v>
      </c>
      <c r="R62" s="553">
        <v>219</v>
      </c>
      <c r="S62" s="554">
        <v>291</v>
      </c>
      <c r="T62" s="555">
        <f t="shared" ref="T62:AB62" si="23">S62+T20-T42</f>
        <v>290.89999999999998</v>
      </c>
      <c r="U62" s="555">
        <f t="shared" si="23"/>
        <v>212.89999999999998</v>
      </c>
      <c r="V62" s="555">
        <f t="shared" si="23"/>
        <v>200.89999999999998</v>
      </c>
      <c r="W62" s="555">
        <f t="shared" si="23"/>
        <v>200.79999999999998</v>
      </c>
      <c r="X62" s="553">
        <f t="shared" si="23"/>
        <v>158.79999999999998</v>
      </c>
      <c r="Y62" s="553">
        <f t="shared" si="23"/>
        <v>146.79999999999998</v>
      </c>
      <c r="Z62" s="554">
        <f t="shared" si="23"/>
        <v>146.69999999999999</v>
      </c>
      <c r="AA62" s="555">
        <f t="shared" si="23"/>
        <v>68.699999999999989</v>
      </c>
      <c r="AB62" s="555">
        <f t="shared" si="23"/>
        <v>56.699999999999989</v>
      </c>
    </row>
    <row r="63" spans="1:28" ht="12.75" outlineLevel="1">
      <c r="A63" s="118">
        <v>3522</v>
      </c>
      <c r="B63" s="520">
        <v>0</v>
      </c>
      <c r="C63" s="520">
        <v>0</v>
      </c>
      <c r="D63" s="118">
        <v>1272</v>
      </c>
      <c r="E63" s="118">
        <f t="shared" si="7"/>
        <v>4794</v>
      </c>
      <c r="F63" s="256">
        <f t="shared" si="8"/>
        <v>4541</v>
      </c>
      <c r="G63" s="256">
        <f t="shared" si="9"/>
        <v>-1870</v>
      </c>
      <c r="H63" s="869"/>
      <c r="I63" s="441">
        <v>645380</v>
      </c>
      <c r="J63" s="533" t="s">
        <v>285</v>
      </c>
      <c r="K63" s="553">
        <v>77</v>
      </c>
      <c r="L63" s="553">
        <v>4</v>
      </c>
      <c r="M63" s="553">
        <v>2859</v>
      </c>
      <c r="N63" s="553">
        <v>2507.9677419354839</v>
      </c>
      <c r="O63" s="553">
        <v>4581</v>
      </c>
      <c r="P63" s="553">
        <v>6308</v>
      </c>
      <c r="Q63" s="553">
        <v>5672</v>
      </c>
      <c r="R63" s="553">
        <v>5270</v>
      </c>
      <c r="S63" s="554">
        <v>6411</v>
      </c>
      <c r="T63" s="555">
        <f t="shared" ref="T63:AB63" si="24">S63+T21-T43</f>
        <v>7448</v>
      </c>
      <c r="U63" s="555">
        <f t="shared" si="24"/>
        <v>7517</v>
      </c>
      <c r="V63" s="555">
        <f t="shared" si="24"/>
        <v>6731</v>
      </c>
      <c r="W63" s="555">
        <f t="shared" si="24"/>
        <v>7481</v>
      </c>
      <c r="X63" s="553">
        <f t="shared" si="24"/>
        <v>7111</v>
      </c>
      <c r="Y63" s="553">
        <f t="shared" si="24"/>
        <v>8052</v>
      </c>
      <c r="Z63" s="554">
        <f t="shared" si="24"/>
        <v>7176</v>
      </c>
      <c r="AA63" s="555">
        <f t="shared" si="24"/>
        <v>6274</v>
      </c>
      <c r="AB63" s="555">
        <f t="shared" si="24"/>
        <v>5363</v>
      </c>
    </row>
    <row r="64" spans="1:28" ht="12.75" outlineLevel="1">
      <c r="A64" s="118">
        <v>1210</v>
      </c>
      <c r="B64" s="520">
        <v>0</v>
      </c>
      <c r="C64" s="520">
        <v>0</v>
      </c>
      <c r="D64" s="520">
        <v>0</v>
      </c>
      <c r="E64" s="118">
        <f t="shared" si="7"/>
        <v>1210</v>
      </c>
      <c r="F64" s="256">
        <f t="shared" si="8"/>
        <v>1139.0322580645161</v>
      </c>
      <c r="G64" s="256">
        <f t="shared" si="9"/>
        <v>-365.9677419354839</v>
      </c>
      <c r="H64" s="869"/>
      <c r="I64" s="441">
        <v>578785</v>
      </c>
      <c r="J64" s="533" t="s">
        <v>288</v>
      </c>
      <c r="K64" s="553">
        <v>0</v>
      </c>
      <c r="L64" s="553">
        <v>0</v>
      </c>
      <c r="M64" s="553">
        <v>698</v>
      </c>
      <c r="N64" s="553">
        <v>629.38709677419354</v>
      </c>
      <c r="O64" s="553">
        <v>323</v>
      </c>
      <c r="P64" s="553">
        <v>559</v>
      </c>
      <c r="Q64" s="553">
        <v>788</v>
      </c>
      <c r="R64" s="553">
        <v>508</v>
      </c>
      <c r="S64" s="554">
        <v>1505</v>
      </c>
      <c r="T64" s="555">
        <f t="shared" ref="T64:AB64" si="25">S64+T22-T44</f>
        <v>1636</v>
      </c>
      <c r="U64" s="555">
        <f t="shared" si="25"/>
        <v>1617</v>
      </c>
      <c r="V64" s="555">
        <f t="shared" si="25"/>
        <v>1417</v>
      </c>
      <c r="W64" s="555">
        <f t="shared" si="25"/>
        <v>1548</v>
      </c>
      <c r="X64" s="553">
        <f t="shared" si="25"/>
        <v>1818</v>
      </c>
      <c r="Y64" s="553">
        <f t="shared" si="25"/>
        <v>1618</v>
      </c>
      <c r="Z64" s="554">
        <f t="shared" si="25"/>
        <v>1418</v>
      </c>
      <c r="AA64" s="555">
        <f t="shared" si="25"/>
        <v>1068</v>
      </c>
      <c r="AB64" s="555">
        <f t="shared" si="25"/>
        <v>868</v>
      </c>
    </row>
    <row r="65" spans="1:28" ht="12.75" outlineLevel="1">
      <c r="A65" s="118"/>
      <c r="B65" s="520"/>
      <c r="C65" s="118"/>
      <c r="D65" s="118"/>
      <c r="E65" s="118"/>
      <c r="F65" s="118"/>
      <c r="G65" s="118"/>
      <c r="H65" s="870"/>
      <c r="I65" s="945" t="s">
        <v>38</v>
      </c>
      <c r="J65" s="860"/>
      <c r="K65" s="583">
        <f t="shared" ref="K65:AB65" si="26">SUM(K49:K64)</f>
        <v>12350</v>
      </c>
      <c r="L65" s="583">
        <f t="shared" si="26"/>
        <v>9558</v>
      </c>
      <c r="M65" s="583">
        <f t="shared" si="26"/>
        <v>13870</v>
      </c>
      <c r="N65" s="583">
        <f t="shared" si="26"/>
        <v>21506.148387096775</v>
      </c>
      <c r="O65" s="583">
        <f t="shared" si="26"/>
        <v>30268</v>
      </c>
      <c r="P65" s="583">
        <f t="shared" si="26"/>
        <v>29574</v>
      </c>
      <c r="Q65" s="583">
        <f t="shared" si="26"/>
        <v>24409</v>
      </c>
      <c r="R65" s="583">
        <f t="shared" si="26"/>
        <v>27672</v>
      </c>
      <c r="S65" s="584">
        <f t="shared" si="26"/>
        <v>27205</v>
      </c>
      <c r="T65" s="585">
        <f t="shared" si="26"/>
        <v>40385.700000000004</v>
      </c>
      <c r="U65" s="585">
        <f t="shared" si="26"/>
        <v>34660.700000000004</v>
      </c>
      <c r="V65" s="585">
        <f t="shared" si="26"/>
        <v>30574.600000000002</v>
      </c>
      <c r="W65" s="585">
        <f t="shared" si="26"/>
        <v>25133.3</v>
      </c>
      <c r="X65" s="583">
        <f t="shared" si="26"/>
        <v>44846.3</v>
      </c>
      <c r="Y65" s="583">
        <f t="shared" si="26"/>
        <v>44252.200000000004</v>
      </c>
      <c r="Z65" s="584">
        <f t="shared" si="26"/>
        <v>42059.899999999994</v>
      </c>
      <c r="AA65" s="585">
        <f t="shared" si="26"/>
        <v>38073.9</v>
      </c>
      <c r="AB65" s="585">
        <f t="shared" si="26"/>
        <v>30591.800000000003</v>
      </c>
    </row>
    <row r="66" spans="1:28" ht="12.75">
      <c r="B66" s="426"/>
      <c r="H66" s="428"/>
      <c r="I66" s="428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  <c r="V66" s="428"/>
      <c r="W66" s="428"/>
      <c r="X66" s="428"/>
      <c r="Y66" s="428"/>
      <c r="Z66" s="428"/>
    </row>
    <row r="67" spans="1:28" ht="12.75">
      <c r="B67" s="426"/>
      <c r="H67" s="428"/>
      <c r="I67" s="428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  <c r="V67" s="428"/>
      <c r="W67" s="428"/>
      <c r="X67" s="428"/>
      <c r="Y67" s="428"/>
      <c r="Z67" s="428"/>
    </row>
    <row r="68" spans="1:28" ht="12.75">
      <c r="B68" s="426"/>
      <c r="H68" s="943" t="s">
        <v>302</v>
      </c>
      <c r="I68" s="879"/>
      <c r="J68" s="860"/>
      <c r="K68" s="587" t="s">
        <v>303</v>
      </c>
      <c r="L68" s="587" t="s">
        <v>18</v>
      </c>
      <c r="M68" s="587" t="s">
        <v>19</v>
      </c>
      <c r="N68" s="587" t="s">
        <v>20</v>
      </c>
      <c r="O68" s="587" t="s">
        <v>21</v>
      </c>
      <c r="P68" s="587" t="s">
        <v>22</v>
      </c>
      <c r="Q68" s="587" t="s">
        <v>304</v>
      </c>
      <c r="R68" s="587" t="s">
        <v>107</v>
      </c>
      <c r="S68" s="588" t="s">
        <v>25</v>
      </c>
      <c r="T68" s="253" t="s">
        <v>26</v>
      </c>
      <c r="U68" s="253" t="s">
        <v>15</v>
      </c>
      <c r="V68" s="253" t="s">
        <v>16</v>
      </c>
      <c r="W68" s="253" t="s">
        <v>17</v>
      </c>
      <c r="X68" s="587" t="s">
        <v>18</v>
      </c>
      <c r="Y68" s="587" t="s">
        <v>19</v>
      </c>
      <c r="Z68" s="588" t="s">
        <v>20</v>
      </c>
      <c r="AA68" s="253" t="s">
        <v>21</v>
      </c>
      <c r="AB68" s="253" t="s">
        <v>22</v>
      </c>
    </row>
    <row r="69" spans="1:28" ht="12.75">
      <c r="B69" s="426"/>
      <c r="H69" s="946" t="s">
        <v>305</v>
      </c>
      <c r="I69" s="441">
        <v>117547</v>
      </c>
      <c r="J69" s="443" t="s">
        <v>261</v>
      </c>
      <c r="K69" s="589">
        <f t="shared" ref="K69:AB69" si="27">K49/K29</f>
        <v>0.87671232876712324</v>
      </c>
      <c r="L69" s="589">
        <f t="shared" si="27"/>
        <v>0</v>
      </c>
      <c r="M69" s="589">
        <f t="shared" si="27"/>
        <v>6.1456310679611654</v>
      </c>
      <c r="N69" s="589">
        <f t="shared" si="27"/>
        <v>3.5926881720430104</v>
      </c>
      <c r="O69" s="589">
        <f t="shared" si="27"/>
        <v>6.0075757575757578</v>
      </c>
      <c r="P69" s="590">
        <f t="shared" si="27"/>
        <v>6.617647058823529</v>
      </c>
      <c r="Q69" s="590">
        <f t="shared" si="27"/>
        <v>7.7445255474452557</v>
      </c>
      <c r="R69" s="590">
        <f t="shared" si="27"/>
        <v>5.6196319018404912</v>
      </c>
      <c r="S69" s="591">
        <f t="shared" si="27"/>
        <v>8.6287878787878789</v>
      </c>
      <c r="T69" s="590">
        <f t="shared" si="27"/>
        <v>9.8623188405797109</v>
      </c>
      <c r="U69" s="590">
        <f t="shared" si="27"/>
        <v>9.550387596899224</v>
      </c>
      <c r="V69" s="590">
        <f t="shared" si="27"/>
        <v>8.9541984732824424</v>
      </c>
      <c r="W69" s="590">
        <f t="shared" si="27"/>
        <v>8.2362204724409445</v>
      </c>
      <c r="X69" s="590">
        <f t="shared" si="27"/>
        <v>7.171875</v>
      </c>
      <c r="Y69" s="590">
        <f t="shared" si="27"/>
        <v>6.0615384615384613</v>
      </c>
      <c r="Z69" s="591">
        <f t="shared" si="27"/>
        <v>5.656488549618321</v>
      </c>
      <c r="AA69" s="590">
        <f t="shared" si="27"/>
        <v>4.7</v>
      </c>
      <c r="AB69" s="590">
        <f t="shared" si="27"/>
        <v>3.66412213740458</v>
      </c>
    </row>
    <row r="70" spans="1:28" ht="12.75">
      <c r="B70" s="426"/>
      <c r="H70" s="869"/>
      <c r="I70" s="441">
        <v>552897</v>
      </c>
      <c r="J70" s="443" t="s">
        <v>269</v>
      </c>
      <c r="K70" s="595">
        <f t="shared" ref="K70:AB70" si="28">K50/K30</f>
        <v>11.072512647554806</v>
      </c>
      <c r="L70" s="595">
        <f t="shared" si="28"/>
        <v>4.632484514796972</v>
      </c>
      <c r="M70" s="595">
        <f t="shared" si="28"/>
        <v>17.851063829787233</v>
      </c>
      <c r="N70" s="595">
        <f t="shared" si="28"/>
        <v>10.591851166838927</v>
      </c>
      <c r="O70" s="595">
        <f t="shared" si="28"/>
        <v>4.084319526627219</v>
      </c>
      <c r="P70" s="590">
        <f t="shared" si="28"/>
        <v>8.6408094435075888</v>
      </c>
      <c r="Q70" s="590">
        <f t="shared" si="28"/>
        <v>7.863406408094435</v>
      </c>
      <c r="R70" s="590">
        <f t="shared" si="28"/>
        <v>2.4177563661390229</v>
      </c>
      <c r="S70" s="591">
        <f t="shared" si="28"/>
        <v>7.7908937605396291</v>
      </c>
      <c r="T70" s="590">
        <f t="shared" si="28"/>
        <v>7.0489038785834737</v>
      </c>
      <c r="U70" s="590">
        <f t="shared" si="28"/>
        <v>2.9091534755677908</v>
      </c>
      <c r="V70" s="590">
        <f t="shared" si="28"/>
        <v>6.1281618887015181</v>
      </c>
      <c r="W70" s="590">
        <f t="shared" si="28"/>
        <v>5.1281618887015181</v>
      </c>
      <c r="X70" s="590">
        <f t="shared" si="28"/>
        <v>2.53819683413627</v>
      </c>
      <c r="Y70" s="590">
        <f t="shared" si="28"/>
        <v>5.2192242833052278</v>
      </c>
      <c r="Z70" s="591">
        <f t="shared" si="28"/>
        <v>4.2192242833052278</v>
      </c>
      <c r="AA70" s="590">
        <f t="shared" si="28"/>
        <v>0.72195457673778385</v>
      </c>
      <c r="AB70" s="590">
        <f t="shared" si="28"/>
        <v>0.76897133220910618</v>
      </c>
    </row>
    <row r="71" spans="1:28" ht="12.75">
      <c r="B71" s="426"/>
      <c r="H71" s="869"/>
      <c r="I71" s="441">
        <v>117771</v>
      </c>
      <c r="J71" s="443" t="s">
        <v>270</v>
      </c>
      <c r="K71" s="595">
        <f t="shared" ref="K71:AB71" si="29">K51/K31</f>
        <v>5.0357142857142856</v>
      </c>
      <c r="L71" s="595">
        <f t="shared" si="29"/>
        <v>1.375</v>
      </c>
      <c r="M71" s="595">
        <f t="shared" si="29"/>
        <v>27</v>
      </c>
      <c r="N71" s="595">
        <f t="shared" si="29"/>
        <v>4.8752688172043008</v>
      </c>
      <c r="O71" s="595">
        <f t="shared" si="29"/>
        <v>2.6355140186915889</v>
      </c>
      <c r="P71" s="590">
        <f t="shared" si="29"/>
        <v>16</v>
      </c>
      <c r="Q71" s="590">
        <f t="shared" si="29"/>
        <v>15.7</v>
      </c>
      <c r="R71" s="590">
        <f t="shared" si="29"/>
        <v>2.8833333333333333</v>
      </c>
      <c r="S71" s="591">
        <f t="shared" si="29"/>
        <v>16.2</v>
      </c>
      <c r="T71" s="590">
        <f t="shared" si="29"/>
        <v>15.2</v>
      </c>
      <c r="U71" s="590">
        <f t="shared" si="29"/>
        <v>3.05</v>
      </c>
      <c r="V71" s="590">
        <f t="shared" si="29"/>
        <v>11.2</v>
      </c>
      <c r="W71" s="590">
        <f t="shared" si="29"/>
        <v>10.199999999999999</v>
      </c>
      <c r="X71" s="590">
        <f t="shared" si="29"/>
        <v>2.5499999999999998</v>
      </c>
      <c r="Y71" s="590">
        <f t="shared" si="29"/>
        <v>9.1999999999999993</v>
      </c>
      <c r="Z71" s="591">
        <f t="shared" si="29"/>
        <v>8.1999999999999993</v>
      </c>
      <c r="AA71" s="590">
        <f t="shared" si="29"/>
        <v>1.05</v>
      </c>
      <c r="AB71" s="590">
        <f t="shared" si="29"/>
        <v>3.2</v>
      </c>
    </row>
    <row r="72" spans="1:28" ht="12.75">
      <c r="B72" s="426"/>
      <c r="H72" s="869"/>
      <c r="I72" s="441">
        <v>646546</v>
      </c>
      <c r="J72" s="443" t="s">
        <v>271</v>
      </c>
      <c r="K72" s="589">
        <f t="shared" ref="K72:AB72" si="30">K52/K32</f>
        <v>2.4</v>
      </c>
      <c r="L72" s="589">
        <f t="shared" si="30"/>
        <v>1.675</v>
      </c>
      <c r="M72" s="589">
        <f t="shared" si="30"/>
        <v>67</v>
      </c>
      <c r="N72" s="589">
        <f t="shared" si="30"/>
        <v>0.97270471464019859</v>
      </c>
      <c r="O72" s="589">
        <f t="shared" si="30"/>
        <v>1.4466019417475728</v>
      </c>
      <c r="P72" s="590">
        <f t="shared" si="30"/>
        <v>7.8974358974358978</v>
      </c>
      <c r="Q72" s="590">
        <f t="shared" si="30"/>
        <v>7.4615384615384617</v>
      </c>
      <c r="R72" s="590">
        <f t="shared" si="30"/>
        <v>6.1538461538461542</v>
      </c>
      <c r="S72" s="591">
        <f t="shared" si="30"/>
        <v>5.7948717948717947</v>
      </c>
      <c r="T72" s="590">
        <f t="shared" si="30"/>
        <v>4.7948717948717947</v>
      </c>
      <c r="U72" s="590">
        <f t="shared" si="30"/>
        <v>3.7948717948717947</v>
      </c>
      <c r="V72" s="590">
        <f t="shared" si="30"/>
        <v>4.1025641025641022</v>
      </c>
      <c r="W72" s="590">
        <f t="shared" si="30"/>
        <v>3.2564102564102564</v>
      </c>
      <c r="X72" s="590">
        <f t="shared" si="30"/>
        <v>3.4102564102564101</v>
      </c>
      <c r="Y72" s="590">
        <f t="shared" si="30"/>
        <v>3.3333333333333335</v>
      </c>
      <c r="Z72" s="591">
        <f t="shared" si="30"/>
        <v>3.641025641025641</v>
      </c>
      <c r="AA72" s="590">
        <f t="shared" si="30"/>
        <v>2.641025641025641</v>
      </c>
      <c r="AB72" s="590">
        <f t="shared" si="30"/>
        <v>1.641025641025641</v>
      </c>
    </row>
    <row r="73" spans="1:28" ht="12.75">
      <c r="B73" s="426"/>
      <c r="H73" s="869"/>
      <c r="I73" s="441">
        <v>646567</v>
      </c>
      <c r="J73" s="443" t="s">
        <v>272</v>
      </c>
      <c r="K73" s="605">
        <f t="shared" ref="K73:AB73" si="31">K53/K33</f>
        <v>5.0454545454545459</v>
      </c>
      <c r="L73" s="605">
        <f t="shared" si="31"/>
        <v>0.7142857142857143</v>
      </c>
      <c r="M73" s="605">
        <f t="shared" si="31"/>
        <v>1190</v>
      </c>
      <c r="N73" s="605">
        <f t="shared" si="31"/>
        <v>1189.7419354838707</v>
      </c>
      <c r="O73" s="605">
        <f t="shared" si="31"/>
        <v>1.3934426229508197</v>
      </c>
      <c r="P73" s="607">
        <f t="shared" si="31"/>
        <v>850</v>
      </c>
      <c r="Q73" s="607">
        <f t="shared" si="31"/>
        <v>630</v>
      </c>
      <c r="R73" s="607">
        <f t="shared" si="31"/>
        <v>2.8985507246376812E-2</v>
      </c>
      <c r="S73" s="608">
        <f t="shared" si="31"/>
        <v>20</v>
      </c>
      <c r="T73" s="607">
        <f t="shared" si="31"/>
        <v>2898.9999999999995</v>
      </c>
      <c r="U73" s="607">
        <f t="shared" si="31"/>
        <v>3.2014492753623185</v>
      </c>
      <c r="V73" s="607">
        <f t="shared" si="31"/>
        <v>2207.9999999999995</v>
      </c>
      <c r="W73" s="607">
        <f t="shared" si="31"/>
        <v>2206.9999999999995</v>
      </c>
      <c r="X73" s="607">
        <f t="shared" si="31"/>
        <v>2.198550724637681</v>
      </c>
      <c r="Y73" s="607">
        <f t="shared" si="31"/>
        <v>1515.9999999999998</v>
      </c>
      <c r="Z73" s="608">
        <f t="shared" si="31"/>
        <v>2205</v>
      </c>
      <c r="AA73" s="607">
        <f t="shared" si="31"/>
        <v>2.1956521739130435</v>
      </c>
      <c r="AB73" s="607">
        <f t="shared" si="31"/>
        <v>1514</v>
      </c>
    </row>
    <row r="74" spans="1:28" ht="12.75">
      <c r="B74" s="426"/>
      <c r="H74" s="869"/>
      <c r="I74" s="441">
        <v>691217</v>
      </c>
      <c r="J74" s="443" t="s">
        <v>273</v>
      </c>
      <c r="K74" s="605">
        <f t="shared" ref="K74:AB74" si="32">K54/K34</f>
        <v>0.38709677419354838</v>
      </c>
      <c r="L74" s="605">
        <f t="shared" si="32"/>
        <v>0</v>
      </c>
      <c r="M74" s="605">
        <f t="shared" si="32"/>
        <v>7.6923076923076927E-2</v>
      </c>
      <c r="N74" s="605">
        <f t="shared" si="32"/>
        <v>0.78955453149001542</v>
      </c>
      <c r="O74" s="605">
        <f t="shared" si="32"/>
        <v>5.8965517241379306</v>
      </c>
      <c r="P74" s="607">
        <f t="shared" si="32"/>
        <v>6.9142857142857146</v>
      </c>
      <c r="Q74" s="607">
        <f t="shared" si="32"/>
        <v>6.2</v>
      </c>
      <c r="R74" s="607">
        <f t="shared" si="32"/>
        <v>5.5142857142857142</v>
      </c>
      <c r="S74" s="608">
        <f t="shared" si="32"/>
        <v>4.8571428571428568</v>
      </c>
      <c r="T74" s="607">
        <f t="shared" si="32"/>
        <v>5.2285714285714286</v>
      </c>
      <c r="U74" s="607">
        <f t="shared" si="32"/>
        <v>4.2285714285714286</v>
      </c>
      <c r="V74" s="607">
        <f t="shared" si="32"/>
        <v>4.2571428571428571</v>
      </c>
      <c r="W74" s="607">
        <f t="shared" si="32"/>
        <v>3.2571428571428571</v>
      </c>
      <c r="X74" s="607">
        <f t="shared" si="32"/>
        <v>3.6285714285714286</v>
      </c>
      <c r="Y74" s="607">
        <f t="shared" si="32"/>
        <v>2.6285714285714286</v>
      </c>
      <c r="Z74" s="608">
        <f t="shared" si="32"/>
        <v>3.6857142857142855</v>
      </c>
      <c r="AA74" s="607">
        <f t="shared" si="32"/>
        <v>2.6857142857142855</v>
      </c>
      <c r="AB74" s="607">
        <f t="shared" si="32"/>
        <v>1.6857142857142857</v>
      </c>
    </row>
    <row r="75" spans="1:28" ht="12.75">
      <c r="B75" s="426"/>
      <c r="H75" s="869"/>
      <c r="I75" s="441">
        <v>611174</v>
      </c>
      <c r="J75" s="443" t="s">
        <v>274</v>
      </c>
      <c r="K75" s="605">
        <f t="shared" ref="K75:AB75" si="33">K55/K35</f>
        <v>0</v>
      </c>
      <c r="L75" s="605">
        <f t="shared" si="33"/>
        <v>8.9126559714795004E-4</v>
      </c>
      <c r="M75" s="605">
        <f t="shared" si="33"/>
        <v>0</v>
      </c>
      <c r="N75" s="605">
        <f t="shared" si="33"/>
        <v>4.4973416965352451</v>
      </c>
      <c r="O75" s="605">
        <f t="shared" si="33"/>
        <v>4.0142857142857142</v>
      </c>
      <c r="P75" s="607">
        <f t="shared" si="33"/>
        <v>1.9220014716703457</v>
      </c>
      <c r="Q75" s="607">
        <f t="shared" si="33"/>
        <v>0.81082024432809774</v>
      </c>
      <c r="R75" s="607">
        <f t="shared" si="33"/>
        <v>3.7739246415471825</v>
      </c>
      <c r="S75" s="608">
        <f t="shared" si="33"/>
        <v>2.6490773713175786</v>
      </c>
      <c r="T75" s="607">
        <f t="shared" si="33"/>
        <v>5.6628515369522567</v>
      </c>
      <c r="U75" s="607">
        <f t="shared" si="33"/>
        <v>4.5521000320615581</v>
      </c>
      <c r="V75" s="607">
        <f t="shared" si="33"/>
        <v>3.5073015873015874</v>
      </c>
      <c r="W75" s="607">
        <f t="shared" si="33"/>
        <v>2.4720301697045883</v>
      </c>
      <c r="X75" s="607">
        <f t="shared" si="33"/>
        <v>8.9147479775980081</v>
      </c>
      <c r="Y75" s="607">
        <f t="shared" si="33"/>
        <v>8.0043997485857954</v>
      </c>
      <c r="Z75" s="608">
        <f t="shared" si="33"/>
        <v>6.8489984591679507</v>
      </c>
      <c r="AA75" s="607">
        <f t="shared" si="33"/>
        <v>5.7800488102501522</v>
      </c>
      <c r="AB75" s="607">
        <f t="shared" si="33"/>
        <v>4.7241691842900302</v>
      </c>
    </row>
    <row r="76" spans="1:28" ht="12.75">
      <c r="B76" s="426"/>
      <c r="H76" s="869"/>
      <c r="I76" s="441">
        <v>701775</v>
      </c>
      <c r="J76" s="443" t="s">
        <v>275</v>
      </c>
      <c r="K76" s="605">
        <f t="shared" ref="K76:AB76" si="34">K56/K36</f>
        <v>2.4929098128190583</v>
      </c>
      <c r="L76" s="605">
        <f t="shared" si="34"/>
        <v>3.4890190336749636</v>
      </c>
      <c r="M76" s="605">
        <f t="shared" si="34"/>
        <v>2.2424242424242422</v>
      </c>
      <c r="N76" s="605">
        <f t="shared" si="34"/>
        <v>0.49631084586134822</v>
      </c>
      <c r="O76" s="605">
        <f t="shared" si="34"/>
        <v>3.4924795874516543</v>
      </c>
      <c r="P76" s="607">
        <f t="shared" si="34"/>
        <v>5.8113207547169807</v>
      </c>
      <c r="Q76" s="607">
        <f t="shared" si="34"/>
        <v>4.7843791722296398</v>
      </c>
      <c r="R76" s="607">
        <f t="shared" si="34"/>
        <v>1.5316455696202531</v>
      </c>
      <c r="S76" s="608">
        <f t="shared" si="34"/>
        <v>1.6285571642536196</v>
      </c>
      <c r="T76" s="607">
        <f t="shared" si="34"/>
        <v>2.6384650947757744</v>
      </c>
      <c r="U76" s="607">
        <f t="shared" si="34"/>
        <v>0.84513417394115742</v>
      </c>
      <c r="V76" s="607">
        <f t="shared" si="34"/>
        <v>1.6307403936269915</v>
      </c>
      <c r="W76" s="607">
        <f t="shared" si="34"/>
        <v>0.53846153846153844</v>
      </c>
      <c r="X76" s="607">
        <f t="shared" si="34"/>
        <v>-0.14862267777065982</v>
      </c>
      <c r="Y76" s="607">
        <f t="shared" si="34"/>
        <v>1.1631067961165049</v>
      </c>
      <c r="Z76" s="608">
        <f t="shared" si="34"/>
        <v>2.3579094727018197</v>
      </c>
      <c r="AA76" s="607">
        <f t="shared" si="34"/>
        <v>2.611963670529283</v>
      </c>
      <c r="AB76" s="607">
        <f t="shared" si="34"/>
        <v>3.1471904525111887</v>
      </c>
    </row>
    <row r="77" spans="1:28" ht="12.75">
      <c r="B77" s="426"/>
      <c r="H77" s="869"/>
      <c r="I77" s="441">
        <v>646548</v>
      </c>
      <c r="J77" s="443" t="s">
        <v>277</v>
      </c>
      <c r="K77" s="605">
        <f t="shared" ref="K77:AB77" si="35">K57/K37</f>
        <v>3.0789473684210527</v>
      </c>
      <c r="L77" s="605">
        <f t="shared" si="35"/>
        <v>0.2</v>
      </c>
      <c r="M77" s="605">
        <f t="shared" si="35"/>
        <v>19.666666666666668</v>
      </c>
      <c r="N77" s="605">
        <f t="shared" si="35"/>
        <v>7.8847926267281112</v>
      </c>
      <c r="O77" s="605">
        <f t="shared" si="35"/>
        <v>0.67826086956521736</v>
      </c>
      <c r="P77" s="607">
        <f t="shared" si="35"/>
        <v>11</v>
      </c>
      <c r="Q77" s="607">
        <f t="shared" si="35"/>
        <v>10.523809523809524</v>
      </c>
      <c r="R77" s="607">
        <f t="shared" si="35"/>
        <v>1.288888888888889</v>
      </c>
      <c r="S77" s="608">
        <f t="shared" si="35"/>
        <v>6.8571428571428568</v>
      </c>
      <c r="T77" s="607">
        <f t="shared" si="35"/>
        <v>5.8571428571428568</v>
      </c>
      <c r="U77" s="607">
        <f t="shared" si="35"/>
        <v>2.1666666666666665</v>
      </c>
      <c r="V77" s="607">
        <f t="shared" si="35"/>
        <v>8.2857142857142865</v>
      </c>
      <c r="W77" s="607">
        <f t="shared" si="35"/>
        <v>7.2857142857142856</v>
      </c>
      <c r="X77" s="607">
        <f t="shared" si="35"/>
        <v>2.2000000000000002</v>
      </c>
      <c r="Y77" s="607">
        <f t="shared" si="35"/>
        <v>8.4285714285714288</v>
      </c>
      <c r="Z77" s="608">
        <f t="shared" si="35"/>
        <v>9.7142857142857135</v>
      </c>
      <c r="AA77" s="607">
        <f t="shared" si="35"/>
        <v>1.2666666666666666</v>
      </c>
      <c r="AB77" s="607">
        <f t="shared" si="35"/>
        <v>4.4285714285714288</v>
      </c>
    </row>
    <row r="78" spans="1:28" ht="12.75">
      <c r="B78" s="426"/>
      <c r="H78" s="869"/>
      <c r="I78" s="441">
        <v>589462</v>
      </c>
      <c r="J78" s="443" t="s">
        <v>279</v>
      </c>
      <c r="K78" s="605">
        <f t="shared" ref="K78:AB78" si="36">K58/K38</f>
        <v>5</v>
      </c>
      <c r="L78" s="605">
        <f t="shared" si="36"/>
        <v>0.87</v>
      </c>
      <c r="M78" s="605">
        <f t="shared" si="36"/>
        <v>2.9642857142857144</v>
      </c>
      <c r="N78" s="605">
        <f t="shared" si="36"/>
        <v>13.5752688172043</v>
      </c>
      <c r="O78" s="605">
        <f t="shared" si="36"/>
        <v>2.21875</v>
      </c>
      <c r="P78" s="607">
        <f t="shared" si="36"/>
        <v>19.166666666666668</v>
      </c>
      <c r="Q78" s="607">
        <f t="shared" si="36"/>
        <v>19.166666666666668</v>
      </c>
      <c r="R78" s="607">
        <f t="shared" si="36"/>
        <v>2.4411764705882355</v>
      </c>
      <c r="S78" s="608">
        <f t="shared" si="36"/>
        <v>13.833333333333334</v>
      </c>
      <c r="T78" s="607">
        <f t="shared" si="36"/>
        <v>22.166666666666668</v>
      </c>
      <c r="U78" s="607">
        <f t="shared" si="36"/>
        <v>2.9117647058823528</v>
      </c>
      <c r="V78" s="607">
        <f t="shared" si="36"/>
        <v>15.5</v>
      </c>
      <c r="W78" s="607">
        <f t="shared" si="36"/>
        <v>17.833333333333332</v>
      </c>
      <c r="X78" s="607">
        <f t="shared" si="36"/>
        <v>2.7352941176470589</v>
      </c>
      <c r="Y78" s="607">
        <f t="shared" si="36"/>
        <v>14.5</v>
      </c>
      <c r="Z78" s="608">
        <f t="shared" si="36"/>
        <v>13.5</v>
      </c>
      <c r="AA78" s="607">
        <f t="shared" si="36"/>
        <v>1.3823529411764706</v>
      </c>
      <c r="AB78" s="607">
        <f t="shared" si="36"/>
        <v>6.833333333333333</v>
      </c>
    </row>
    <row r="79" spans="1:28" ht="12.75">
      <c r="B79" s="426"/>
      <c r="H79" s="869"/>
      <c r="I79" s="441">
        <v>589466</v>
      </c>
      <c r="J79" s="443" t="s">
        <v>281</v>
      </c>
      <c r="K79" s="605">
        <f t="shared" ref="K79:AB79" si="37">K59/K39</f>
        <v>2.5833333333333335</v>
      </c>
      <c r="L79" s="605">
        <f t="shared" si="37"/>
        <v>0.08</v>
      </c>
      <c r="M79" s="605">
        <f t="shared" si="37"/>
        <v>2.8541666666666665</v>
      </c>
      <c r="N79" s="605">
        <f t="shared" si="37"/>
        <v>4.3086021505376344</v>
      </c>
      <c r="O79" s="605">
        <f t="shared" si="37"/>
        <v>0.3037037037037037</v>
      </c>
      <c r="P79" s="607">
        <f t="shared" si="37"/>
        <v>2.7777777777777777</v>
      </c>
      <c r="Q79" s="607">
        <f t="shared" si="37"/>
        <v>6.666666666666667</v>
      </c>
      <c r="R79" s="607">
        <f t="shared" si="37"/>
        <v>6.6666666666666671E-3</v>
      </c>
      <c r="S79" s="608">
        <f t="shared" si="37"/>
        <v>1.3888888888888888E-2</v>
      </c>
      <c r="T79" s="607">
        <f t="shared" si="37"/>
        <v>11.433333333333334</v>
      </c>
      <c r="U79" s="607">
        <f t="shared" si="37"/>
        <v>1.2866666666666666</v>
      </c>
      <c r="V79" s="607">
        <f t="shared" si="37"/>
        <v>1.6805555555555556</v>
      </c>
      <c r="W79" s="607">
        <f t="shared" si="37"/>
        <v>3.0333333333333332</v>
      </c>
      <c r="X79" s="607">
        <f t="shared" si="37"/>
        <v>2.4066666666666667</v>
      </c>
      <c r="Y79" s="607">
        <f t="shared" si="37"/>
        <v>4.0138888888888893</v>
      </c>
      <c r="Z79" s="608">
        <f t="shared" si="37"/>
        <v>8.6333333333333329</v>
      </c>
      <c r="AA79" s="607">
        <f t="shared" si="37"/>
        <v>0.72666666666666668</v>
      </c>
      <c r="AB79" s="607">
        <f t="shared" si="37"/>
        <v>0.51388888888888884</v>
      </c>
    </row>
    <row r="80" spans="1:28" ht="12.75">
      <c r="B80" s="426"/>
      <c r="H80" s="869"/>
      <c r="I80" s="441">
        <v>116180</v>
      </c>
      <c r="J80" s="443" t="s">
        <v>282</v>
      </c>
      <c r="K80" s="605">
        <f t="shared" ref="K80:AB80" si="38">K60/K40</f>
        <v>3.6</v>
      </c>
      <c r="L80" s="605">
        <f t="shared" si="38"/>
        <v>2.5000000000000001E-2</v>
      </c>
      <c r="M80" s="605">
        <f t="shared" si="38"/>
        <v>2.2684310018903593E-2</v>
      </c>
      <c r="N80" s="605">
        <f t="shared" si="38"/>
        <v>0.43137254901960786</v>
      </c>
      <c r="O80" s="605">
        <f t="shared" si="38"/>
        <v>0.47560975609756095</v>
      </c>
      <c r="P80" s="607">
        <f t="shared" si="38"/>
        <v>1</v>
      </c>
      <c r="Q80" s="607">
        <f t="shared" si="38"/>
        <v>7.8235294117647056</v>
      </c>
      <c r="R80" s="607">
        <f t="shared" si="38"/>
        <v>0.04</v>
      </c>
      <c r="S80" s="608">
        <f t="shared" si="38"/>
        <v>1.085</v>
      </c>
      <c r="T80" s="607">
        <f t="shared" si="38"/>
        <v>7.5098039215686274</v>
      </c>
      <c r="U80" s="607">
        <f t="shared" si="38"/>
        <v>3.5575000000000001</v>
      </c>
      <c r="V80" s="607">
        <f t="shared" si="38"/>
        <v>3.3824999999999998</v>
      </c>
      <c r="W80" s="607">
        <f t="shared" si="38"/>
        <v>25.529411764705884</v>
      </c>
      <c r="X80" s="607">
        <f t="shared" si="38"/>
        <v>3.2406015037593985</v>
      </c>
      <c r="Y80" s="607">
        <f t="shared" si="38"/>
        <v>14.962962962962964</v>
      </c>
      <c r="Z80" s="608">
        <f t="shared" si="38"/>
        <v>22.764705882352942</v>
      </c>
      <c r="AA80" s="607">
        <f t="shared" si="38"/>
        <v>1.9097744360902256</v>
      </c>
      <c r="AB80" s="607">
        <f t="shared" si="38"/>
        <v>8.4074074074074066</v>
      </c>
    </row>
    <row r="81" spans="2:28" ht="12.75">
      <c r="B81" s="426"/>
      <c r="H81" s="869"/>
      <c r="I81" s="441">
        <v>695413</v>
      </c>
      <c r="J81" s="443" t="s">
        <v>283</v>
      </c>
      <c r="K81" s="605">
        <f t="shared" ref="K81:AB81" si="39">K61/K41</f>
        <v>2.0816326530612246</v>
      </c>
      <c r="L81" s="605">
        <f t="shared" si="39"/>
        <v>0.125</v>
      </c>
      <c r="M81" s="605">
        <f t="shared" si="39"/>
        <v>3.1147540983606556</v>
      </c>
      <c r="N81" s="605">
        <f t="shared" si="39"/>
        <v>1649.7419354838707</v>
      </c>
      <c r="O81" s="605">
        <f t="shared" si="39"/>
        <v>0.7639751552795031</v>
      </c>
      <c r="P81" s="607">
        <f t="shared" si="39"/>
        <v>4.26</v>
      </c>
      <c r="Q81" s="607">
        <f t="shared" si="39"/>
        <v>1970</v>
      </c>
      <c r="R81" s="607">
        <f t="shared" si="39"/>
        <v>0.58974358974358976</v>
      </c>
      <c r="S81" s="608">
        <f t="shared" si="39"/>
        <v>1.64</v>
      </c>
      <c r="T81" s="607">
        <f t="shared" si="39"/>
        <v>819</v>
      </c>
      <c r="U81" s="607">
        <f t="shared" si="39"/>
        <v>0.66538461538461546</v>
      </c>
      <c r="V81" s="607">
        <f t="shared" si="39"/>
        <v>1.9580000000000002</v>
      </c>
      <c r="W81" s="607">
        <f t="shared" si="39"/>
        <v>978.00000000000011</v>
      </c>
      <c r="X81" s="607">
        <f t="shared" si="39"/>
        <v>1.4846153846153847</v>
      </c>
      <c r="Y81" s="607">
        <f t="shared" si="39"/>
        <v>5.4333333333333336</v>
      </c>
      <c r="Z81" s="608">
        <f t="shared" si="39"/>
        <v>1937</v>
      </c>
      <c r="AA81" s="607">
        <f t="shared" si="39"/>
        <v>1.4833333333333336</v>
      </c>
      <c r="AB81" s="607">
        <f t="shared" si="39"/>
        <v>5.4277777777777789</v>
      </c>
    </row>
    <row r="82" spans="2:28" ht="12.75">
      <c r="B82" s="426"/>
      <c r="H82" s="869"/>
      <c r="I82" s="441">
        <v>699883</v>
      </c>
      <c r="J82" s="443" t="s">
        <v>284</v>
      </c>
      <c r="K82" s="605">
        <f t="shared" ref="K82:AB82" si="40">K62/K42</f>
        <v>3.6923076923076925</v>
      </c>
      <c r="L82" s="605">
        <f t="shared" si="40"/>
        <v>0.25</v>
      </c>
      <c r="M82" s="605">
        <f t="shared" si="40"/>
        <v>1520</v>
      </c>
      <c r="N82" s="605">
        <f t="shared" si="40"/>
        <v>1529.7419354838707</v>
      </c>
      <c r="O82" s="605">
        <f t="shared" si="40"/>
        <v>3.4</v>
      </c>
      <c r="P82" s="607">
        <f t="shared" si="40"/>
        <v>27.583333333333332</v>
      </c>
      <c r="Q82" s="607">
        <f t="shared" si="40"/>
        <v>3310</v>
      </c>
      <c r="R82" s="607">
        <f t="shared" si="40"/>
        <v>2.8076923076923075</v>
      </c>
      <c r="S82" s="608">
        <f t="shared" si="40"/>
        <v>24.25</v>
      </c>
      <c r="T82" s="607">
        <f t="shared" si="40"/>
        <v>2908.9999999999995</v>
      </c>
      <c r="U82" s="607">
        <f t="shared" si="40"/>
        <v>2.7294871794871791</v>
      </c>
      <c r="V82" s="607">
        <f t="shared" si="40"/>
        <v>16.741666666666664</v>
      </c>
      <c r="W82" s="607">
        <f t="shared" si="40"/>
        <v>2007.9999999999998</v>
      </c>
      <c r="X82" s="607">
        <f t="shared" si="40"/>
        <v>2.0358974358974358</v>
      </c>
      <c r="Y82" s="607">
        <f t="shared" si="40"/>
        <v>12.233333333333333</v>
      </c>
      <c r="Z82" s="608">
        <f t="shared" si="40"/>
        <v>1466.9999999999998</v>
      </c>
      <c r="AA82" s="607">
        <f t="shared" si="40"/>
        <v>0.88076923076923064</v>
      </c>
      <c r="AB82" s="607">
        <f t="shared" si="40"/>
        <v>4.7249999999999988</v>
      </c>
    </row>
    <row r="83" spans="2:28" ht="12.75">
      <c r="B83" s="426"/>
      <c r="H83" s="869"/>
      <c r="I83" s="441">
        <v>645380</v>
      </c>
      <c r="J83" s="443" t="s">
        <v>285</v>
      </c>
      <c r="K83" s="605">
        <f t="shared" ref="K83:M83" si="41">K63/K43</f>
        <v>0.91666666666666663</v>
      </c>
      <c r="L83" s="605">
        <f t="shared" si="41"/>
        <v>8.5653104925053538E-3</v>
      </c>
      <c r="M83" s="605">
        <f t="shared" si="41"/>
        <v>3.2599771949828962</v>
      </c>
      <c r="N83" s="605">
        <f>N63/P43</f>
        <v>3.5624541788856305</v>
      </c>
      <c r="O83" s="605">
        <f t="shared" ref="O83:AB83" si="42">O63/O43</f>
        <v>7.364951768488746</v>
      </c>
      <c r="P83" s="607">
        <f t="shared" si="42"/>
        <v>8.9602272727272734</v>
      </c>
      <c r="Q83" s="607">
        <f t="shared" si="42"/>
        <v>8.9889064976228212</v>
      </c>
      <c r="R83" s="607">
        <f t="shared" si="42"/>
        <v>7.8306092124814262</v>
      </c>
      <c r="S83" s="608">
        <f t="shared" si="42"/>
        <v>8.9915848527349223</v>
      </c>
      <c r="T83" s="607">
        <f t="shared" si="42"/>
        <v>9.761467889908257</v>
      </c>
      <c r="U83" s="607">
        <f t="shared" si="42"/>
        <v>9.7496757457846943</v>
      </c>
      <c r="V83" s="607">
        <f t="shared" si="42"/>
        <v>8.5636132315521625</v>
      </c>
      <c r="W83" s="607">
        <f t="shared" si="42"/>
        <v>9.2358024691358018</v>
      </c>
      <c r="X83" s="607">
        <f t="shared" si="42"/>
        <v>8.3658823529411759</v>
      </c>
      <c r="Y83" s="607">
        <f t="shared" si="42"/>
        <v>9.3736903376018628</v>
      </c>
      <c r="Z83" s="608">
        <f t="shared" si="42"/>
        <v>8.1917808219178081</v>
      </c>
      <c r="AA83" s="607">
        <f t="shared" si="42"/>
        <v>6.9556541019955658</v>
      </c>
      <c r="AB83" s="607">
        <f t="shared" si="42"/>
        <v>5.8869374313940721</v>
      </c>
    </row>
    <row r="84" spans="2:28" ht="12.75">
      <c r="B84" s="426"/>
      <c r="H84" s="869"/>
      <c r="I84" s="441">
        <v>578785</v>
      </c>
      <c r="J84" s="443" t="s">
        <v>288</v>
      </c>
      <c r="K84" s="605">
        <f t="shared" ref="K84:AB84" si="43">K64/K44</f>
        <v>0</v>
      </c>
      <c r="L84" s="605">
        <f t="shared" si="43"/>
        <v>0</v>
      </c>
      <c r="M84" s="605">
        <f t="shared" si="43"/>
        <v>1.5075593952483801</v>
      </c>
      <c r="N84" s="605">
        <f t="shared" si="43"/>
        <v>3.1469354838709678</v>
      </c>
      <c r="O84" s="605">
        <f t="shared" si="43"/>
        <v>0.99691358024691357</v>
      </c>
      <c r="P84" s="607">
        <f t="shared" si="43"/>
        <v>2.7949999999999999</v>
      </c>
      <c r="Q84" s="607">
        <f t="shared" si="43"/>
        <v>3.94</v>
      </c>
      <c r="R84" s="607">
        <f t="shared" si="43"/>
        <v>1.4514285714285715</v>
      </c>
      <c r="S84" s="608">
        <f t="shared" si="43"/>
        <v>7.5250000000000004</v>
      </c>
      <c r="T84" s="607">
        <f t="shared" si="43"/>
        <v>8.18</v>
      </c>
      <c r="U84" s="607">
        <f t="shared" si="43"/>
        <v>4.62</v>
      </c>
      <c r="V84" s="607">
        <f t="shared" si="43"/>
        <v>7.085</v>
      </c>
      <c r="W84" s="607">
        <f t="shared" si="43"/>
        <v>7.74</v>
      </c>
      <c r="X84" s="607">
        <f t="shared" si="43"/>
        <v>5.194285714285714</v>
      </c>
      <c r="Y84" s="607">
        <f t="shared" si="43"/>
        <v>8.09</v>
      </c>
      <c r="Z84" s="608">
        <f t="shared" si="43"/>
        <v>7.09</v>
      </c>
      <c r="AA84" s="607">
        <f t="shared" si="43"/>
        <v>3.0514285714285716</v>
      </c>
      <c r="AB84" s="607">
        <f t="shared" si="43"/>
        <v>4.34</v>
      </c>
    </row>
    <row r="85" spans="2:28" ht="12.75">
      <c r="B85" s="426"/>
      <c r="H85" s="870"/>
      <c r="I85" s="947" t="s">
        <v>38</v>
      </c>
      <c r="J85" s="860"/>
      <c r="K85" s="613">
        <f t="shared" ref="K85:AB85" si="44">AVERAGE(K69:K84)</f>
        <v>3.0164555067683336</v>
      </c>
      <c r="L85" s="613">
        <f t="shared" si="44"/>
        <v>0.8403278649279563</v>
      </c>
      <c r="M85" s="613">
        <f t="shared" si="44"/>
        <v>178.98163351645786</v>
      </c>
      <c r="N85" s="613">
        <f t="shared" si="44"/>
        <v>276.74693451265449</v>
      </c>
      <c r="O85" s="613">
        <f t="shared" si="44"/>
        <v>2.8233084829281183</v>
      </c>
      <c r="P85" s="613">
        <f t="shared" si="44"/>
        <v>61.334156586934071</v>
      </c>
      <c r="Q85" s="613">
        <f t="shared" si="44"/>
        <v>376.10464053751042</v>
      </c>
      <c r="R85" s="613">
        <f t="shared" si="44"/>
        <v>2.7737259309592632</v>
      </c>
      <c r="S85" s="614">
        <f t="shared" si="44"/>
        <v>8.2340800474383347</v>
      </c>
      <c r="T85" s="615">
        <f t="shared" si="44"/>
        <v>421.39652482768452</v>
      </c>
      <c r="U85" s="615">
        <f t="shared" si="44"/>
        <v>3.7386758348217151</v>
      </c>
      <c r="V85" s="615">
        <f t="shared" si="44"/>
        <v>144.43607244013177</v>
      </c>
      <c r="W85" s="615">
        <f t="shared" si="44"/>
        <v>331.0466263980677</v>
      </c>
      <c r="X85" s="613">
        <f t="shared" si="44"/>
        <v>3.6204261795776236</v>
      </c>
      <c r="Y85" s="613">
        <f t="shared" si="44"/>
        <v>101.79037214600889</v>
      </c>
      <c r="Z85" s="614">
        <f t="shared" si="44"/>
        <v>357.09396665271396</v>
      </c>
      <c r="AA85" s="615">
        <f t="shared" si="44"/>
        <v>2.5026878191435573</v>
      </c>
      <c r="AB85" s="615">
        <f t="shared" si="44"/>
        <v>98.33713183128296</v>
      </c>
    </row>
    <row r="86" spans="2:28" ht="12.75">
      <c r="B86" s="426"/>
      <c r="H86" s="428"/>
      <c r="I86" s="428"/>
      <c r="J86" s="428"/>
      <c r="K86" s="428"/>
      <c r="L86" s="428"/>
      <c r="M86" s="428"/>
      <c r="N86" s="428"/>
      <c r="O86" s="428"/>
      <c r="P86" s="428"/>
      <c r="Q86" s="428"/>
      <c r="R86" s="428"/>
      <c r="T86" s="428"/>
      <c r="X86" s="428"/>
      <c r="Y86" s="428"/>
      <c r="Z86" s="428"/>
    </row>
    <row r="87" spans="2:28" ht="12.75">
      <c r="B87" s="426"/>
      <c r="H87" s="428"/>
      <c r="I87" s="428"/>
      <c r="J87" s="428"/>
      <c r="K87" s="428"/>
      <c r="L87" s="428"/>
      <c r="M87" s="428"/>
      <c r="N87" s="428"/>
      <c r="O87" s="428"/>
      <c r="P87" s="428"/>
      <c r="Q87" s="428"/>
      <c r="R87" s="428"/>
      <c r="T87" s="428"/>
      <c r="X87" s="428"/>
      <c r="Y87" s="428"/>
      <c r="Z87" s="428"/>
    </row>
    <row r="88" spans="2:28" ht="12.75">
      <c r="K88" s="428"/>
      <c r="L88" s="428"/>
      <c r="M88" s="428"/>
      <c r="N88" s="428"/>
      <c r="O88" s="428"/>
      <c r="P88" s="428"/>
      <c r="Q88" s="428"/>
      <c r="R88" s="428"/>
      <c r="T88" s="428"/>
      <c r="X88" s="428"/>
      <c r="Y88" s="428"/>
      <c r="Z88" s="428"/>
    </row>
    <row r="89" spans="2:28" ht="12.75">
      <c r="K89" s="428"/>
      <c r="L89" s="428"/>
      <c r="M89" s="428"/>
      <c r="N89" s="428"/>
      <c r="O89" s="428"/>
      <c r="P89" s="428"/>
      <c r="Q89" s="428"/>
      <c r="R89" s="428"/>
      <c r="T89" s="428"/>
      <c r="X89" s="428"/>
      <c r="Y89" s="428"/>
      <c r="Z89" s="428"/>
    </row>
    <row r="90" spans="2:28" ht="12.75">
      <c r="K90" s="428"/>
      <c r="L90" s="428"/>
      <c r="M90" s="428"/>
      <c r="N90" s="428"/>
      <c r="O90" s="428"/>
      <c r="P90" s="428"/>
      <c r="Q90" s="428"/>
      <c r="R90" s="428"/>
      <c r="T90" s="428"/>
      <c r="X90" s="428"/>
      <c r="Y90" s="428"/>
      <c r="Z90" s="428"/>
    </row>
    <row r="91" spans="2:28" ht="12.75">
      <c r="K91" s="428"/>
      <c r="L91" s="428"/>
      <c r="M91" s="428"/>
      <c r="N91" s="428"/>
      <c r="O91" s="428"/>
      <c r="P91" s="428"/>
      <c r="Q91" s="428"/>
      <c r="R91" s="428"/>
      <c r="T91" s="428"/>
      <c r="X91" s="428"/>
      <c r="Y91" s="428"/>
      <c r="Z91" s="428"/>
    </row>
    <row r="92" spans="2:28" ht="12.75">
      <c r="K92" s="428"/>
      <c r="L92" s="428"/>
      <c r="M92" s="428"/>
      <c r="N92" s="428"/>
      <c r="O92" s="428"/>
      <c r="P92" s="428"/>
      <c r="Q92" s="428"/>
      <c r="R92" s="428"/>
      <c r="T92" s="428"/>
      <c r="X92" s="428"/>
      <c r="Y92" s="428"/>
      <c r="Z92" s="428"/>
    </row>
    <row r="93" spans="2:28" ht="12.75">
      <c r="K93" s="428"/>
      <c r="L93" s="428"/>
      <c r="M93" s="428"/>
      <c r="N93" s="428"/>
      <c r="O93" s="428"/>
      <c r="P93" s="428"/>
      <c r="Q93" s="428"/>
      <c r="R93" s="428"/>
      <c r="T93" s="428"/>
      <c r="X93" s="428"/>
      <c r="Y93" s="428"/>
      <c r="Z93" s="428"/>
    </row>
    <row r="94" spans="2:28" ht="12.75">
      <c r="K94" s="428"/>
      <c r="L94" s="428"/>
      <c r="M94" s="428"/>
      <c r="N94" s="428"/>
      <c r="O94" s="428"/>
      <c r="P94" s="428"/>
      <c r="Q94" s="428"/>
      <c r="R94" s="428"/>
      <c r="T94" s="428"/>
      <c r="X94" s="428"/>
      <c r="Y94" s="428"/>
      <c r="Z94" s="428"/>
    </row>
    <row r="95" spans="2:28" ht="12.75">
      <c r="K95" s="428"/>
      <c r="L95" s="428"/>
      <c r="M95" s="428"/>
      <c r="N95" s="428"/>
      <c r="O95" s="428"/>
      <c r="P95" s="428"/>
      <c r="Q95" s="428"/>
      <c r="R95" s="428"/>
      <c r="T95" s="428"/>
      <c r="X95" s="428"/>
      <c r="Y95" s="428"/>
      <c r="Z95" s="428"/>
    </row>
    <row r="96" spans="2:28" ht="12.75">
      <c r="K96" s="428"/>
      <c r="L96" s="428"/>
      <c r="M96" s="428"/>
      <c r="N96" s="428"/>
      <c r="O96" s="428"/>
      <c r="P96" s="428"/>
      <c r="Q96" s="428"/>
      <c r="R96" s="428"/>
      <c r="T96" s="428"/>
      <c r="X96" s="428"/>
      <c r="Y96" s="428"/>
      <c r="Z96" s="428"/>
    </row>
    <row r="97" spans="2:26" ht="12.75">
      <c r="K97" s="428"/>
      <c r="L97" s="428"/>
      <c r="M97" s="428"/>
      <c r="N97" s="428"/>
      <c r="O97" s="428"/>
      <c r="P97" s="428"/>
      <c r="Q97" s="428"/>
      <c r="R97" s="428"/>
      <c r="T97" s="428"/>
      <c r="X97" s="428"/>
      <c r="Y97" s="428"/>
      <c r="Z97" s="428"/>
    </row>
    <row r="98" spans="2:26" ht="12.75">
      <c r="K98" s="428"/>
      <c r="L98" s="428"/>
      <c r="M98" s="428"/>
      <c r="N98" s="428"/>
      <c r="O98" s="428"/>
      <c r="P98" s="428"/>
      <c r="Q98" s="428"/>
      <c r="R98" s="428"/>
      <c r="T98" s="428"/>
      <c r="X98" s="428"/>
      <c r="Y98" s="428"/>
      <c r="Z98" s="428"/>
    </row>
    <row r="99" spans="2:26" ht="12.75">
      <c r="K99" s="428"/>
      <c r="L99" s="428"/>
      <c r="M99" s="428"/>
      <c r="N99" s="428"/>
      <c r="O99" s="428"/>
      <c r="P99" s="428"/>
      <c r="Q99" s="428"/>
      <c r="R99" s="428"/>
      <c r="T99" s="428"/>
      <c r="X99" s="428"/>
      <c r="Y99" s="428"/>
      <c r="Z99" s="428"/>
    </row>
    <row r="100" spans="2:26" ht="12.75">
      <c r="K100" s="428"/>
      <c r="L100" s="428"/>
      <c r="M100" s="428"/>
      <c r="N100" s="428"/>
      <c r="O100" s="428"/>
      <c r="P100" s="428"/>
      <c r="Q100" s="428"/>
      <c r="R100" s="428"/>
      <c r="T100" s="428"/>
      <c r="X100" s="428"/>
      <c r="Y100" s="428"/>
      <c r="Z100" s="428"/>
    </row>
    <row r="101" spans="2:26" ht="12.75">
      <c r="K101" s="428"/>
      <c r="L101" s="428"/>
      <c r="M101" s="428"/>
      <c r="N101" s="428"/>
      <c r="O101" s="428"/>
      <c r="P101" s="428"/>
      <c r="Q101" s="428"/>
      <c r="R101" s="428"/>
      <c r="T101" s="428"/>
      <c r="X101" s="428"/>
      <c r="Y101" s="428"/>
      <c r="Z101" s="428"/>
    </row>
    <row r="102" spans="2:26" ht="12.75">
      <c r="K102" s="428"/>
      <c r="L102" s="428"/>
      <c r="M102" s="428"/>
      <c r="N102" s="428"/>
      <c r="O102" s="428"/>
      <c r="P102" s="428"/>
      <c r="Q102" s="428"/>
      <c r="R102" s="428"/>
      <c r="T102" s="428"/>
      <c r="X102" s="428"/>
      <c r="Y102" s="428"/>
      <c r="Z102" s="428"/>
    </row>
    <row r="103" spans="2:26" ht="12.75">
      <c r="B103" s="426"/>
      <c r="H103" s="428"/>
      <c r="I103" s="428"/>
      <c r="J103" s="428"/>
      <c r="K103" s="428"/>
      <c r="L103" s="428"/>
      <c r="M103" s="428"/>
      <c r="N103" s="428"/>
      <c r="O103" s="428"/>
      <c r="P103" s="428"/>
      <c r="Q103" s="428"/>
      <c r="R103" s="428"/>
      <c r="T103" s="428"/>
      <c r="X103" s="428"/>
      <c r="Y103" s="428"/>
      <c r="Z103" s="428"/>
    </row>
    <row r="104" spans="2:26" ht="12.75">
      <c r="B104" s="426"/>
      <c r="H104" s="428"/>
      <c r="I104" s="428"/>
      <c r="J104" s="428"/>
      <c r="K104" s="428"/>
      <c r="L104" s="428"/>
      <c r="M104" s="428"/>
      <c r="N104" s="428"/>
      <c r="O104" s="428"/>
      <c r="P104" s="428"/>
      <c r="Q104" s="428"/>
      <c r="R104" s="428"/>
      <c r="T104" s="428"/>
      <c r="X104" s="428"/>
      <c r="Y104" s="428"/>
      <c r="Z104" s="428"/>
    </row>
    <row r="105" spans="2:26" ht="12.75">
      <c r="B105" s="426"/>
      <c r="H105" s="428"/>
      <c r="I105" s="428"/>
      <c r="J105" s="428"/>
      <c r="K105" s="428"/>
      <c r="L105" s="428"/>
      <c r="M105" s="428"/>
      <c r="N105" s="428"/>
      <c r="O105" s="428"/>
      <c r="P105" s="428"/>
      <c r="Q105" s="428"/>
      <c r="R105" s="428"/>
      <c r="T105" s="428"/>
      <c r="X105" s="428"/>
      <c r="Y105" s="428"/>
      <c r="Z105" s="428"/>
    </row>
    <row r="106" spans="2:26" ht="12.75">
      <c r="B106" s="426"/>
      <c r="H106" s="428"/>
      <c r="I106" s="428"/>
      <c r="J106" s="428"/>
      <c r="K106" s="428"/>
      <c r="L106" s="428"/>
      <c r="M106" s="428"/>
      <c r="N106" s="428"/>
      <c r="O106" s="428"/>
      <c r="P106" s="428"/>
      <c r="Q106" s="428"/>
      <c r="R106" s="428"/>
      <c r="T106" s="428"/>
      <c r="X106" s="428"/>
      <c r="Y106" s="428"/>
      <c r="Z106" s="428"/>
    </row>
    <row r="107" spans="2:26" ht="12.75">
      <c r="B107" s="426"/>
      <c r="H107" s="428"/>
      <c r="I107" s="428"/>
      <c r="J107" s="428"/>
      <c r="K107" s="428"/>
      <c r="L107" s="428"/>
      <c r="M107" s="428"/>
      <c r="N107" s="428"/>
      <c r="O107" s="428"/>
      <c r="P107" s="428"/>
      <c r="Q107" s="428"/>
      <c r="R107" s="428"/>
      <c r="T107" s="428"/>
      <c r="X107" s="428"/>
      <c r="Y107" s="428"/>
      <c r="Z107" s="428"/>
    </row>
    <row r="108" spans="2:26" ht="12.75">
      <c r="B108" s="426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T108" s="428"/>
      <c r="X108" s="428"/>
      <c r="Y108" s="428"/>
      <c r="Z108" s="428"/>
    </row>
    <row r="109" spans="2:26" ht="12.75">
      <c r="B109" s="426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T109" s="428"/>
      <c r="X109" s="428"/>
      <c r="Y109" s="428"/>
      <c r="Z109" s="428"/>
    </row>
    <row r="110" spans="2:26" ht="12.75">
      <c r="B110" s="426"/>
      <c r="H110" s="428"/>
      <c r="I110" s="428"/>
      <c r="J110" s="428"/>
      <c r="K110" s="428"/>
      <c r="L110" s="428"/>
      <c r="M110" s="428"/>
      <c r="N110" s="428"/>
      <c r="O110" s="428"/>
      <c r="P110" s="428"/>
      <c r="Q110" s="428"/>
      <c r="R110" s="428"/>
      <c r="T110" s="428"/>
      <c r="X110" s="428"/>
      <c r="Y110" s="428"/>
      <c r="Z110" s="428"/>
    </row>
    <row r="111" spans="2:26" ht="12.75">
      <c r="B111" s="426"/>
      <c r="H111" s="428"/>
      <c r="I111" s="428"/>
      <c r="J111" s="428"/>
      <c r="K111" s="428"/>
      <c r="L111" s="428"/>
      <c r="M111" s="428"/>
      <c r="N111" s="428"/>
      <c r="O111" s="428"/>
      <c r="P111" s="428"/>
      <c r="Q111" s="428"/>
      <c r="R111" s="428"/>
      <c r="T111" s="428"/>
      <c r="X111" s="428"/>
      <c r="Y111" s="428"/>
      <c r="Z111" s="428"/>
    </row>
    <row r="112" spans="2:26" ht="12.75">
      <c r="B112" s="426"/>
      <c r="H112" s="428"/>
      <c r="I112" s="428"/>
      <c r="J112" s="428"/>
      <c r="K112" s="428"/>
      <c r="L112" s="428"/>
      <c r="M112" s="428"/>
      <c r="N112" s="428"/>
      <c r="O112" s="428"/>
      <c r="P112" s="428"/>
      <c r="Q112" s="428"/>
      <c r="R112" s="428"/>
      <c r="T112" s="428"/>
      <c r="X112" s="428"/>
      <c r="Y112" s="428"/>
      <c r="Z112" s="428"/>
    </row>
    <row r="113" spans="2:26" ht="12.75">
      <c r="B113" s="426"/>
      <c r="H113" s="428"/>
      <c r="I113" s="428"/>
      <c r="J113" s="428"/>
      <c r="K113" s="428"/>
      <c r="L113" s="428"/>
      <c r="M113" s="428"/>
      <c r="N113" s="428"/>
      <c r="O113" s="428"/>
      <c r="P113" s="428"/>
      <c r="Q113" s="428"/>
      <c r="R113" s="428"/>
      <c r="T113" s="428"/>
      <c r="X113" s="428"/>
      <c r="Y113" s="428"/>
      <c r="Z113" s="428"/>
    </row>
    <row r="114" spans="2:26" ht="12.75">
      <c r="B114" s="426"/>
      <c r="H114" s="428"/>
      <c r="I114" s="428"/>
      <c r="J114" s="428"/>
      <c r="K114" s="428"/>
      <c r="L114" s="428"/>
      <c r="M114" s="428"/>
      <c r="N114" s="428"/>
      <c r="O114" s="428"/>
      <c r="P114" s="428"/>
      <c r="Q114" s="428"/>
      <c r="R114" s="428"/>
      <c r="T114" s="428"/>
      <c r="X114" s="428"/>
      <c r="Y114" s="428"/>
      <c r="Z114" s="428"/>
    </row>
    <row r="115" spans="2:26" ht="12.75">
      <c r="B115" s="426"/>
      <c r="H115" s="428"/>
      <c r="I115" s="428"/>
      <c r="J115" s="428"/>
      <c r="K115" s="428"/>
      <c r="L115" s="428"/>
      <c r="M115" s="428"/>
      <c r="N115" s="428"/>
      <c r="O115" s="428"/>
      <c r="P115" s="428"/>
      <c r="Q115" s="428"/>
      <c r="R115" s="428"/>
      <c r="T115" s="428"/>
      <c r="X115" s="428"/>
      <c r="Y115" s="428"/>
      <c r="Z115" s="428"/>
    </row>
    <row r="116" spans="2:26" ht="12.75">
      <c r="B116" s="426"/>
      <c r="H116" s="428"/>
      <c r="I116" s="428"/>
      <c r="J116" s="428"/>
      <c r="K116" s="428"/>
      <c r="L116" s="428"/>
      <c r="M116" s="428"/>
      <c r="N116" s="428"/>
      <c r="O116" s="428"/>
      <c r="P116" s="428"/>
      <c r="Q116" s="428"/>
      <c r="R116" s="428"/>
      <c r="T116" s="428"/>
      <c r="X116" s="428"/>
      <c r="Y116" s="428"/>
      <c r="Z116" s="428"/>
    </row>
    <row r="117" spans="2:26" ht="12.75">
      <c r="B117" s="426"/>
      <c r="H117" s="428"/>
      <c r="I117" s="428"/>
      <c r="J117" s="428"/>
      <c r="K117" s="428"/>
      <c r="L117" s="428"/>
      <c r="M117" s="428"/>
      <c r="N117" s="428"/>
      <c r="O117" s="428"/>
      <c r="P117" s="428"/>
      <c r="Q117" s="428"/>
      <c r="R117" s="428"/>
      <c r="T117" s="428"/>
      <c r="X117" s="428"/>
      <c r="Y117" s="428"/>
      <c r="Z117" s="428"/>
    </row>
    <row r="118" spans="2:26" ht="12.75">
      <c r="B118" s="426"/>
      <c r="H118" s="428"/>
      <c r="I118" s="428"/>
      <c r="J118" s="428"/>
      <c r="K118" s="428"/>
      <c r="L118" s="428"/>
      <c r="M118" s="428"/>
      <c r="N118" s="428"/>
      <c r="O118" s="428"/>
      <c r="P118" s="428"/>
      <c r="Q118" s="428"/>
      <c r="R118" s="428"/>
      <c r="T118" s="428"/>
      <c r="X118" s="428"/>
      <c r="Y118" s="428"/>
      <c r="Z118" s="428"/>
    </row>
    <row r="119" spans="2:26" ht="12.75">
      <c r="B119" s="426"/>
      <c r="H119" s="428"/>
      <c r="I119" s="428"/>
      <c r="J119" s="428"/>
      <c r="K119" s="428"/>
      <c r="L119" s="428"/>
      <c r="M119" s="428"/>
      <c r="N119" s="428"/>
      <c r="O119" s="428"/>
      <c r="P119" s="428"/>
      <c r="Q119" s="428"/>
      <c r="R119" s="428"/>
      <c r="T119" s="428"/>
      <c r="X119" s="428"/>
      <c r="Y119" s="428"/>
      <c r="Z119" s="428"/>
    </row>
    <row r="120" spans="2:26" ht="12.75">
      <c r="B120" s="426"/>
      <c r="H120" s="428"/>
      <c r="I120" s="428"/>
      <c r="J120" s="428"/>
      <c r="K120" s="428"/>
      <c r="L120" s="428"/>
      <c r="M120" s="428"/>
      <c r="N120" s="428"/>
      <c r="O120" s="428"/>
      <c r="P120" s="428"/>
      <c r="Q120" s="428"/>
      <c r="R120" s="428"/>
      <c r="T120" s="428"/>
      <c r="X120" s="428"/>
      <c r="Y120" s="428"/>
      <c r="Z120" s="428"/>
    </row>
    <row r="121" spans="2:26" ht="12.75">
      <c r="B121" s="426"/>
      <c r="H121" s="428"/>
      <c r="I121" s="428"/>
      <c r="J121" s="428"/>
      <c r="K121" s="428"/>
      <c r="L121" s="428"/>
      <c r="M121" s="428"/>
      <c r="N121" s="428"/>
      <c r="O121" s="428"/>
      <c r="P121" s="428"/>
      <c r="Q121" s="428"/>
      <c r="R121" s="428"/>
      <c r="T121" s="428"/>
      <c r="X121" s="428"/>
      <c r="Y121" s="428"/>
      <c r="Z121" s="428"/>
    </row>
    <row r="122" spans="2:26" ht="12.75">
      <c r="B122" s="426"/>
      <c r="H122" s="428"/>
      <c r="I122" s="428"/>
      <c r="J122" s="428"/>
      <c r="K122" s="428"/>
      <c r="L122" s="428"/>
      <c r="M122" s="428"/>
      <c r="N122" s="428"/>
      <c r="O122" s="428"/>
      <c r="P122" s="428"/>
      <c r="Q122" s="428"/>
      <c r="R122" s="428"/>
      <c r="T122" s="428"/>
      <c r="X122" s="428"/>
      <c r="Y122" s="428"/>
      <c r="Z122" s="428"/>
    </row>
    <row r="123" spans="2:26" ht="12.75">
      <c r="B123" s="426"/>
      <c r="H123" s="428"/>
      <c r="I123" s="428"/>
      <c r="J123" s="428"/>
      <c r="K123" s="428"/>
      <c r="L123" s="428"/>
      <c r="M123" s="428"/>
      <c r="N123" s="428"/>
      <c r="O123" s="428"/>
      <c r="P123" s="428"/>
      <c r="Q123" s="428"/>
      <c r="R123" s="428"/>
      <c r="T123" s="428"/>
      <c r="X123" s="428"/>
      <c r="Y123" s="428"/>
      <c r="Z123" s="428"/>
    </row>
    <row r="124" spans="2:26" ht="12.75">
      <c r="B124" s="426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T124" s="428"/>
      <c r="X124" s="428"/>
      <c r="Y124" s="428"/>
      <c r="Z124" s="428"/>
    </row>
    <row r="125" spans="2:26" ht="12.75">
      <c r="B125" s="426"/>
      <c r="H125" s="428"/>
      <c r="I125" s="428"/>
      <c r="J125" s="428"/>
      <c r="K125" s="428"/>
      <c r="L125" s="428"/>
      <c r="M125" s="428"/>
      <c r="N125" s="428"/>
      <c r="O125" s="428"/>
      <c r="P125" s="428"/>
      <c r="Q125" s="428"/>
      <c r="R125" s="428"/>
      <c r="T125" s="428"/>
      <c r="X125" s="428"/>
      <c r="Y125" s="428"/>
      <c r="Z125" s="428"/>
    </row>
    <row r="126" spans="2:26" ht="12.75">
      <c r="B126" s="426"/>
      <c r="H126" s="428"/>
      <c r="I126" s="428"/>
      <c r="J126" s="428"/>
      <c r="K126" s="428"/>
      <c r="L126" s="428"/>
      <c r="M126" s="428"/>
      <c r="N126" s="428"/>
      <c r="O126" s="428"/>
      <c r="P126" s="428"/>
      <c r="Q126" s="428"/>
      <c r="R126" s="428"/>
      <c r="T126" s="428"/>
      <c r="X126" s="428"/>
      <c r="Y126" s="428"/>
      <c r="Z126" s="428"/>
    </row>
    <row r="127" spans="2:26" ht="12.75">
      <c r="B127" s="426"/>
      <c r="H127" s="428"/>
      <c r="I127" s="428"/>
      <c r="J127" s="428"/>
      <c r="K127" s="428"/>
      <c r="L127" s="428"/>
      <c r="M127" s="428"/>
      <c r="N127" s="428"/>
      <c r="O127" s="428"/>
      <c r="P127" s="428"/>
      <c r="Q127" s="428"/>
      <c r="R127" s="428"/>
      <c r="T127" s="428"/>
      <c r="X127" s="428"/>
      <c r="Y127" s="428"/>
      <c r="Z127" s="428"/>
    </row>
    <row r="128" spans="2:26" ht="12.75">
      <c r="B128" s="426"/>
      <c r="H128" s="428"/>
      <c r="I128" s="428"/>
      <c r="J128" s="428"/>
      <c r="K128" s="428"/>
      <c r="L128" s="428"/>
      <c r="M128" s="428"/>
      <c r="N128" s="428"/>
      <c r="O128" s="428"/>
      <c r="P128" s="428"/>
      <c r="Q128" s="428"/>
      <c r="R128" s="428"/>
      <c r="T128" s="428"/>
      <c r="X128" s="428"/>
      <c r="Y128" s="428"/>
      <c r="Z128" s="428"/>
    </row>
    <row r="129" spans="2:26" ht="12.75">
      <c r="B129" s="426"/>
      <c r="H129" s="428"/>
      <c r="I129" s="428"/>
      <c r="J129" s="428"/>
      <c r="K129" s="428"/>
      <c r="L129" s="428"/>
      <c r="M129" s="428"/>
      <c r="N129" s="428"/>
      <c r="O129" s="428"/>
      <c r="P129" s="428"/>
      <c r="Q129" s="428"/>
      <c r="R129" s="428"/>
      <c r="T129" s="428"/>
      <c r="X129" s="428"/>
      <c r="Y129" s="428"/>
      <c r="Z129" s="428"/>
    </row>
    <row r="130" spans="2:26" ht="12.75">
      <c r="B130" s="426"/>
      <c r="H130" s="428"/>
      <c r="I130" s="428"/>
      <c r="J130" s="428"/>
      <c r="K130" s="428"/>
      <c r="L130" s="428"/>
      <c r="M130" s="428"/>
      <c r="N130" s="428"/>
      <c r="O130" s="428"/>
      <c r="P130" s="428"/>
      <c r="Q130" s="428"/>
      <c r="R130" s="428"/>
      <c r="T130" s="428"/>
      <c r="X130" s="428"/>
      <c r="Y130" s="428"/>
      <c r="Z130" s="428"/>
    </row>
    <row r="131" spans="2:26" ht="12.75">
      <c r="B131" s="426"/>
      <c r="H131" s="428"/>
      <c r="I131" s="428"/>
      <c r="J131" s="428"/>
      <c r="K131" s="428"/>
      <c r="L131" s="428"/>
      <c r="M131" s="428"/>
      <c r="N131" s="428"/>
      <c r="O131" s="428"/>
      <c r="P131" s="428"/>
      <c r="Q131" s="428"/>
      <c r="R131" s="428"/>
      <c r="T131" s="428"/>
      <c r="X131" s="428"/>
      <c r="Y131" s="428"/>
      <c r="Z131" s="428"/>
    </row>
    <row r="132" spans="2:26" ht="12.75">
      <c r="B132" s="426"/>
      <c r="H132" s="428"/>
      <c r="I132" s="428"/>
      <c r="J132" s="428"/>
      <c r="K132" s="428"/>
      <c r="L132" s="428"/>
      <c r="M132" s="428"/>
      <c r="N132" s="428"/>
      <c r="O132" s="428"/>
      <c r="P132" s="428"/>
      <c r="Q132" s="428"/>
      <c r="R132" s="428"/>
      <c r="T132" s="428"/>
      <c r="X132" s="428"/>
      <c r="Y132" s="428"/>
      <c r="Z132" s="428"/>
    </row>
    <row r="133" spans="2:26" ht="12.75">
      <c r="B133" s="426"/>
      <c r="H133" s="428"/>
      <c r="I133" s="428"/>
      <c r="J133" s="428"/>
      <c r="K133" s="428"/>
      <c r="L133" s="428"/>
      <c r="M133" s="428"/>
      <c r="N133" s="428"/>
      <c r="O133" s="428"/>
      <c r="P133" s="428"/>
      <c r="Q133" s="428"/>
      <c r="R133" s="428"/>
      <c r="T133" s="428"/>
      <c r="X133" s="428"/>
      <c r="Y133" s="428"/>
      <c r="Z133" s="428"/>
    </row>
    <row r="134" spans="2:26" ht="12.75">
      <c r="B134" s="426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T134" s="428"/>
      <c r="X134" s="428"/>
      <c r="Y134" s="428"/>
      <c r="Z134" s="428"/>
    </row>
    <row r="135" spans="2:26" ht="12.75">
      <c r="B135" s="426"/>
      <c r="H135" s="428"/>
      <c r="I135" s="428"/>
      <c r="J135" s="428"/>
      <c r="K135" s="428"/>
      <c r="L135" s="428"/>
      <c r="M135" s="428"/>
      <c r="N135" s="428"/>
      <c r="O135" s="428"/>
      <c r="P135" s="428"/>
      <c r="Q135" s="428"/>
      <c r="R135" s="428"/>
      <c r="T135" s="428"/>
      <c r="X135" s="428"/>
      <c r="Y135" s="428"/>
      <c r="Z135" s="428"/>
    </row>
    <row r="136" spans="2:26" ht="12.75">
      <c r="B136" s="426"/>
      <c r="H136" s="428"/>
      <c r="I136" s="428"/>
      <c r="J136" s="428"/>
      <c r="K136" s="428"/>
      <c r="L136" s="428"/>
      <c r="M136" s="428"/>
      <c r="N136" s="428"/>
      <c r="O136" s="428"/>
      <c r="P136" s="428"/>
      <c r="Q136" s="428"/>
      <c r="R136" s="428"/>
      <c r="T136" s="428"/>
      <c r="X136" s="428"/>
      <c r="Y136" s="428"/>
      <c r="Z136" s="428"/>
    </row>
    <row r="137" spans="2:26" ht="12.75">
      <c r="B137" s="426"/>
      <c r="H137" s="428"/>
      <c r="I137" s="428"/>
      <c r="J137" s="428"/>
      <c r="K137" s="428"/>
      <c r="L137" s="428"/>
      <c r="M137" s="428"/>
      <c r="N137" s="428"/>
      <c r="O137" s="428"/>
      <c r="P137" s="428"/>
      <c r="Q137" s="428"/>
      <c r="R137" s="428"/>
      <c r="T137" s="428"/>
      <c r="X137" s="428"/>
      <c r="Y137" s="428"/>
      <c r="Z137" s="428"/>
    </row>
    <row r="138" spans="2:26" ht="12.75">
      <c r="B138" s="426"/>
      <c r="H138" s="428"/>
      <c r="I138" s="428"/>
      <c r="J138" s="428"/>
      <c r="K138" s="428"/>
      <c r="L138" s="428"/>
      <c r="M138" s="428"/>
      <c r="N138" s="428"/>
      <c r="O138" s="428"/>
      <c r="P138" s="428"/>
      <c r="Q138" s="428"/>
      <c r="R138" s="428"/>
      <c r="T138" s="428"/>
      <c r="X138" s="428"/>
      <c r="Y138" s="428"/>
      <c r="Z138" s="428"/>
    </row>
    <row r="139" spans="2:26" ht="12.75">
      <c r="B139" s="426"/>
      <c r="H139" s="428"/>
      <c r="I139" s="428"/>
      <c r="J139" s="428"/>
      <c r="K139" s="428"/>
      <c r="L139" s="428"/>
      <c r="M139" s="428"/>
      <c r="N139" s="428"/>
      <c r="O139" s="428"/>
      <c r="P139" s="428"/>
      <c r="Q139" s="428"/>
      <c r="R139" s="428"/>
      <c r="T139" s="428"/>
      <c r="X139" s="428"/>
      <c r="Y139" s="428"/>
      <c r="Z139" s="428"/>
    </row>
    <row r="140" spans="2:26" ht="12.75">
      <c r="B140" s="426"/>
      <c r="H140" s="428"/>
      <c r="I140" s="428"/>
      <c r="J140" s="428"/>
      <c r="K140" s="428"/>
      <c r="L140" s="428"/>
      <c r="M140" s="428"/>
      <c r="N140" s="428"/>
      <c r="O140" s="428"/>
      <c r="P140" s="428"/>
      <c r="Q140" s="428"/>
      <c r="R140" s="428"/>
      <c r="T140" s="428"/>
      <c r="X140" s="428"/>
      <c r="Y140" s="428"/>
      <c r="Z140" s="428"/>
    </row>
    <row r="141" spans="2:26" ht="12.75">
      <c r="B141" s="426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T141" s="428"/>
      <c r="X141" s="428"/>
      <c r="Y141" s="428"/>
      <c r="Z141" s="428"/>
    </row>
    <row r="142" spans="2:26" ht="12.75">
      <c r="B142" s="426"/>
      <c r="H142" s="428"/>
      <c r="I142" s="428"/>
      <c r="J142" s="428"/>
      <c r="K142" s="428"/>
      <c r="L142" s="428"/>
      <c r="M142" s="428"/>
      <c r="N142" s="428"/>
      <c r="O142" s="428"/>
      <c r="P142" s="428"/>
      <c r="Q142" s="428"/>
      <c r="R142" s="428"/>
      <c r="T142" s="428"/>
      <c r="X142" s="428"/>
      <c r="Y142" s="428"/>
      <c r="Z142" s="428"/>
    </row>
    <row r="143" spans="2:26" ht="12.75">
      <c r="B143" s="426"/>
      <c r="H143" s="428"/>
      <c r="I143" s="428"/>
      <c r="J143" s="428"/>
      <c r="K143" s="428"/>
      <c r="L143" s="428"/>
      <c r="M143" s="428"/>
      <c r="N143" s="428"/>
      <c r="O143" s="428"/>
      <c r="P143" s="428"/>
      <c r="Q143" s="428"/>
      <c r="R143" s="428"/>
      <c r="T143" s="428"/>
      <c r="X143" s="428"/>
      <c r="Y143" s="428"/>
      <c r="Z143" s="428"/>
    </row>
    <row r="144" spans="2:26" ht="12.75">
      <c r="B144" s="426"/>
      <c r="H144" s="428"/>
      <c r="I144" s="428"/>
      <c r="J144" s="428"/>
      <c r="K144" s="428"/>
      <c r="L144" s="428"/>
      <c r="M144" s="428"/>
      <c r="N144" s="428"/>
      <c r="O144" s="428"/>
      <c r="P144" s="428"/>
      <c r="Q144" s="428"/>
      <c r="R144" s="428"/>
      <c r="T144" s="428"/>
      <c r="X144" s="428"/>
      <c r="Y144" s="428"/>
      <c r="Z144" s="428"/>
    </row>
    <row r="145" spans="2:26" ht="12.75">
      <c r="B145" s="426"/>
      <c r="H145" s="428"/>
      <c r="I145" s="428"/>
      <c r="J145" s="428"/>
      <c r="K145" s="428"/>
      <c r="L145" s="428"/>
      <c r="M145" s="428"/>
      <c r="N145" s="428"/>
      <c r="O145" s="428"/>
      <c r="P145" s="428"/>
      <c r="Q145" s="428"/>
      <c r="R145" s="428"/>
      <c r="T145" s="428"/>
      <c r="X145" s="428"/>
      <c r="Y145" s="428"/>
      <c r="Z145" s="428"/>
    </row>
    <row r="146" spans="2:26" ht="12.75">
      <c r="B146" s="426"/>
      <c r="H146" s="428"/>
      <c r="I146" s="428"/>
      <c r="J146" s="428"/>
      <c r="K146" s="428"/>
      <c r="L146" s="428"/>
      <c r="M146" s="428"/>
      <c r="N146" s="428"/>
      <c r="O146" s="428"/>
      <c r="P146" s="428"/>
      <c r="Q146" s="428"/>
      <c r="R146" s="428"/>
      <c r="T146" s="428"/>
      <c r="X146" s="428"/>
      <c r="Y146" s="428"/>
      <c r="Z146" s="428"/>
    </row>
    <row r="147" spans="2:26" ht="12.75">
      <c r="B147" s="426"/>
      <c r="H147" s="428"/>
      <c r="I147" s="428"/>
      <c r="J147" s="428"/>
      <c r="K147" s="428"/>
      <c r="L147" s="428"/>
      <c r="M147" s="428"/>
      <c r="N147" s="428"/>
      <c r="O147" s="428"/>
      <c r="P147" s="428"/>
      <c r="Q147" s="428"/>
      <c r="R147" s="428"/>
      <c r="T147" s="428"/>
      <c r="X147" s="428"/>
      <c r="Y147" s="428"/>
      <c r="Z147" s="428"/>
    </row>
    <row r="148" spans="2:26" ht="12.75">
      <c r="B148" s="426"/>
      <c r="H148" s="428"/>
      <c r="I148" s="428"/>
      <c r="J148" s="428"/>
      <c r="K148" s="428"/>
      <c r="L148" s="428"/>
      <c r="M148" s="428"/>
      <c r="N148" s="428"/>
      <c r="O148" s="428"/>
      <c r="P148" s="428"/>
      <c r="Q148" s="428"/>
      <c r="R148" s="428"/>
      <c r="T148" s="428"/>
      <c r="X148" s="428"/>
      <c r="Y148" s="428"/>
      <c r="Z148" s="428"/>
    </row>
    <row r="149" spans="2:26" ht="12.75">
      <c r="B149" s="426"/>
      <c r="H149" s="428"/>
      <c r="I149" s="428"/>
      <c r="J149" s="428"/>
      <c r="K149" s="428"/>
      <c r="L149" s="428"/>
      <c r="M149" s="428"/>
      <c r="N149" s="428"/>
      <c r="O149" s="428"/>
      <c r="P149" s="428"/>
      <c r="Q149" s="428"/>
      <c r="R149" s="428"/>
      <c r="T149" s="428"/>
      <c r="X149" s="428"/>
      <c r="Y149" s="428"/>
      <c r="Z149" s="428"/>
    </row>
    <row r="150" spans="2:26" ht="12.75">
      <c r="B150" s="426"/>
      <c r="H150" s="428"/>
      <c r="I150" s="428"/>
      <c r="J150" s="428"/>
      <c r="K150" s="428"/>
      <c r="L150" s="428"/>
      <c r="M150" s="428"/>
      <c r="N150" s="428"/>
      <c r="O150" s="428"/>
      <c r="P150" s="428"/>
      <c r="Q150" s="428"/>
      <c r="R150" s="428"/>
      <c r="T150" s="428"/>
      <c r="X150" s="428"/>
      <c r="Y150" s="428"/>
      <c r="Z150" s="428"/>
    </row>
    <row r="151" spans="2:26" ht="12.75">
      <c r="B151" s="426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T151" s="428"/>
      <c r="X151" s="428"/>
      <c r="Y151" s="428"/>
      <c r="Z151" s="428"/>
    </row>
    <row r="152" spans="2:26" ht="12.75">
      <c r="B152" s="426"/>
      <c r="H152" s="428"/>
      <c r="I152" s="428"/>
      <c r="J152" s="428"/>
      <c r="K152" s="428"/>
      <c r="L152" s="428"/>
      <c r="M152" s="428"/>
      <c r="N152" s="428"/>
      <c r="O152" s="428"/>
      <c r="P152" s="428"/>
      <c r="Q152" s="428"/>
      <c r="R152" s="428"/>
      <c r="T152" s="428"/>
      <c r="X152" s="428"/>
      <c r="Y152" s="428"/>
      <c r="Z152" s="428"/>
    </row>
    <row r="153" spans="2:26" ht="12.75">
      <c r="B153" s="426"/>
      <c r="H153" s="428"/>
      <c r="I153" s="428"/>
      <c r="J153" s="428"/>
      <c r="K153" s="428"/>
      <c r="L153" s="428"/>
      <c r="M153" s="428"/>
      <c r="N153" s="428"/>
      <c r="O153" s="428"/>
      <c r="P153" s="428"/>
      <c r="Q153" s="428"/>
      <c r="R153" s="428"/>
      <c r="T153" s="428"/>
      <c r="X153" s="428"/>
      <c r="Y153" s="428"/>
      <c r="Z153" s="428"/>
    </row>
    <row r="154" spans="2:26" ht="12.75">
      <c r="B154" s="426"/>
      <c r="H154" s="428"/>
      <c r="I154" s="428"/>
      <c r="J154" s="428"/>
      <c r="K154" s="428"/>
      <c r="L154" s="428"/>
      <c r="M154" s="428"/>
      <c r="N154" s="428"/>
      <c r="O154" s="428"/>
      <c r="P154" s="428"/>
      <c r="Q154" s="428"/>
      <c r="R154" s="428"/>
      <c r="T154" s="428"/>
      <c r="X154" s="428"/>
      <c r="Y154" s="428"/>
      <c r="Z154" s="428"/>
    </row>
    <row r="155" spans="2:26" ht="12.75">
      <c r="B155" s="426"/>
      <c r="H155" s="428"/>
      <c r="I155" s="428"/>
      <c r="J155" s="428"/>
      <c r="K155" s="428"/>
      <c r="L155" s="428"/>
      <c r="M155" s="428"/>
      <c r="N155" s="428"/>
      <c r="O155" s="428"/>
      <c r="P155" s="428"/>
      <c r="Q155" s="428"/>
      <c r="R155" s="428"/>
      <c r="T155" s="428"/>
      <c r="X155" s="428"/>
      <c r="Y155" s="428"/>
      <c r="Z155" s="428"/>
    </row>
    <row r="156" spans="2:26" ht="12.75">
      <c r="B156" s="426"/>
      <c r="H156" s="428"/>
      <c r="I156" s="428"/>
      <c r="J156" s="428"/>
      <c r="K156" s="428"/>
      <c r="L156" s="428"/>
      <c r="M156" s="428"/>
      <c r="N156" s="428"/>
      <c r="O156" s="428"/>
      <c r="P156" s="428"/>
      <c r="Q156" s="428"/>
      <c r="R156" s="428"/>
      <c r="T156" s="428"/>
      <c r="X156" s="428"/>
      <c r="Y156" s="428"/>
      <c r="Z156" s="428"/>
    </row>
    <row r="157" spans="2:26" ht="12.75">
      <c r="B157" s="426"/>
      <c r="H157" s="428"/>
      <c r="I157" s="428"/>
      <c r="J157" s="428"/>
      <c r="K157" s="428"/>
      <c r="L157" s="428"/>
      <c r="M157" s="428"/>
      <c r="N157" s="428"/>
      <c r="O157" s="428"/>
      <c r="P157" s="428"/>
      <c r="Q157" s="428"/>
      <c r="R157" s="428"/>
      <c r="T157" s="428"/>
      <c r="X157" s="428"/>
      <c r="Y157" s="428"/>
      <c r="Z157" s="428"/>
    </row>
    <row r="158" spans="2:26" ht="12.75">
      <c r="B158" s="426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T158" s="428"/>
      <c r="X158" s="428"/>
      <c r="Y158" s="428"/>
      <c r="Z158" s="428"/>
    </row>
    <row r="159" spans="2:26" ht="12.75">
      <c r="B159" s="426"/>
      <c r="H159" s="428"/>
      <c r="I159" s="428"/>
      <c r="J159" s="428"/>
      <c r="K159" s="428"/>
      <c r="L159" s="428"/>
      <c r="M159" s="428"/>
      <c r="N159" s="428"/>
      <c r="O159" s="428"/>
      <c r="P159" s="428"/>
      <c r="Q159" s="428"/>
      <c r="R159" s="428"/>
      <c r="T159" s="428"/>
      <c r="X159" s="428"/>
      <c r="Y159" s="428"/>
      <c r="Z159" s="428"/>
    </row>
    <row r="160" spans="2:26" ht="12.75">
      <c r="B160" s="426"/>
      <c r="H160" s="428"/>
      <c r="I160" s="428"/>
      <c r="J160" s="428"/>
      <c r="K160" s="428"/>
      <c r="L160" s="428"/>
      <c r="M160" s="428"/>
      <c r="N160" s="428"/>
      <c r="O160" s="428"/>
      <c r="P160" s="428"/>
      <c r="Q160" s="428"/>
      <c r="R160" s="428"/>
      <c r="T160" s="428"/>
      <c r="X160" s="428"/>
      <c r="Y160" s="428"/>
      <c r="Z160" s="428"/>
    </row>
    <row r="161" spans="2:26" ht="12.75">
      <c r="B161" s="426"/>
      <c r="H161" s="428"/>
      <c r="I161" s="428"/>
      <c r="J161" s="428"/>
      <c r="K161" s="428"/>
      <c r="L161" s="428"/>
      <c r="M161" s="428"/>
      <c r="N161" s="428"/>
      <c r="O161" s="428"/>
      <c r="P161" s="428"/>
      <c r="Q161" s="428"/>
      <c r="R161" s="428"/>
      <c r="T161" s="428"/>
      <c r="X161" s="428"/>
      <c r="Y161" s="428"/>
      <c r="Z161" s="428"/>
    </row>
    <row r="162" spans="2:26" ht="12.75">
      <c r="B162" s="426"/>
      <c r="H162" s="428"/>
      <c r="I162" s="428"/>
      <c r="J162" s="428"/>
      <c r="K162" s="428"/>
      <c r="L162" s="428"/>
      <c r="M162" s="428"/>
      <c r="N162" s="428"/>
      <c r="O162" s="428"/>
      <c r="P162" s="428"/>
      <c r="Q162" s="428"/>
      <c r="R162" s="428"/>
      <c r="T162" s="428"/>
      <c r="X162" s="428"/>
      <c r="Y162" s="428"/>
      <c r="Z162" s="428"/>
    </row>
    <row r="163" spans="2:26" ht="12.75">
      <c r="B163" s="426"/>
      <c r="H163" s="428"/>
      <c r="I163" s="428"/>
      <c r="J163" s="428"/>
      <c r="K163" s="428"/>
      <c r="L163" s="428"/>
      <c r="M163" s="428"/>
      <c r="N163" s="428"/>
      <c r="O163" s="428"/>
      <c r="P163" s="428"/>
      <c r="Q163" s="428"/>
      <c r="R163" s="428"/>
      <c r="T163" s="428"/>
      <c r="X163" s="428"/>
      <c r="Y163" s="428"/>
      <c r="Z163" s="428"/>
    </row>
    <row r="164" spans="2:26" ht="12.75">
      <c r="B164" s="426"/>
      <c r="H164" s="428"/>
      <c r="I164" s="428"/>
      <c r="J164" s="428"/>
      <c r="K164" s="428"/>
      <c r="L164" s="428"/>
      <c r="M164" s="428"/>
      <c r="N164" s="428"/>
      <c r="O164" s="428"/>
      <c r="P164" s="428"/>
      <c r="Q164" s="428"/>
      <c r="R164" s="428"/>
      <c r="T164" s="428"/>
      <c r="X164" s="428"/>
      <c r="Y164" s="428"/>
      <c r="Z164" s="428"/>
    </row>
    <row r="165" spans="2:26" ht="12.75">
      <c r="B165" s="426"/>
      <c r="H165" s="428"/>
      <c r="I165" s="428"/>
      <c r="J165" s="428"/>
      <c r="K165" s="428"/>
      <c r="L165" s="428"/>
      <c r="M165" s="428"/>
      <c r="N165" s="428"/>
      <c r="O165" s="428"/>
      <c r="P165" s="428"/>
      <c r="Q165" s="428"/>
      <c r="R165" s="428"/>
      <c r="T165" s="428"/>
      <c r="X165" s="428"/>
      <c r="Y165" s="428"/>
      <c r="Z165" s="428"/>
    </row>
    <row r="166" spans="2:26" ht="12.75">
      <c r="B166" s="426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T166" s="428"/>
      <c r="X166" s="428"/>
      <c r="Y166" s="428"/>
      <c r="Z166" s="428"/>
    </row>
    <row r="167" spans="2:26" ht="12.75">
      <c r="B167" s="426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R167" s="428"/>
      <c r="T167" s="428"/>
      <c r="X167" s="428"/>
      <c r="Y167" s="428"/>
      <c r="Z167" s="428"/>
    </row>
    <row r="168" spans="2:26" ht="12.75">
      <c r="B168" s="426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T168" s="428"/>
      <c r="X168" s="428"/>
      <c r="Y168" s="428"/>
      <c r="Z168" s="428"/>
    </row>
    <row r="169" spans="2:26" ht="12.75">
      <c r="B169" s="426"/>
      <c r="H169" s="428"/>
      <c r="I169" s="428"/>
      <c r="J169" s="428"/>
      <c r="K169" s="428"/>
      <c r="L169" s="428"/>
      <c r="M169" s="428"/>
      <c r="N169" s="428"/>
      <c r="O169" s="428"/>
      <c r="P169" s="428"/>
      <c r="Q169" s="428"/>
      <c r="R169" s="428"/>
      <c r="T169" s="428"/>
      <c r="X169" s="428"/>
      <c r="Y169" s="428"/>
      <c r="Z169" s="428"/>
    </row>
    <row r="170" spans="2:26" ht="12.75">
      <c r="B170" s="426"/>
      <c r="H170" s="428"/>
      <c r="I170" s="428"/>
      <c r="J170" s="428"/>
      <c r="K170" s="428"/>
      <c r="L170" s="428"/>
      <c r="M170" s="428"/>
      <c r="N170" s="428"/>
      <c r="O170" s="428"/>
      <c r="P170" s="428"/>
      <c r="Q170" s="428"/>
      <c r="R170" s="428"/>
      <c r="T170" s="428"/>
      <c r="X170" s="428"/>
      <c r="Y170" s="428"/>
      <c r="Z170" s="428"/>
    </row>
    <row r="171" spans="2:26" ht="12.75">
      <c r="B171" s="426"/>
      <c r="H171" s="428"/>
      <c r="I171" s="428"/>
      <c r="J171" s="428"/>
      <c r="K171" s="428"/>
      <c r="L171" s="428"/>
      <c r="M171" s="428"/>
      <c r="N171" s="428"/>
      <c r="O171" s="428"/>
      <c r="P171" s="428"/>
      <c r="Q171" s="428"/>
      <c r="R171" s="428"/>
      <c r="T171" s="428"/>
      <c r="X171" s="428"/>
      <c r="Y171" s="428"/>
      <c r="Z171" s="428"/>
    </row>
    <row r="172" spans="2:26" ht="12.75">
      <c r="B172" s="426"/>
      <c r="H172" s="428"/>
      <c r="I172" s="428"/>
      <c r="J172" s="428"/>
      <c r="K172" s="428"/>
      <c r="L172" s="428"/>
      <c r="M172" s="428"/>
      <c r="N172" s="428"/>
      <c r="O172" s="428"/>
      <c r="P172" s="428"/>
      <c r="Q172" s="428"/>
      <c r="R172" s="428"/>
      <c r="T172" s="428"/>
      <c r="X172" s="428"/>
      <c r="Y172" s="428"/>
      <c r="Z172" s="428"/>
    </row>
    <row r="173" spans="2:26" ht="12.75">
      <c r="B173" s="426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R173" s="428"/>
      <c r="T173" s="428"/>
      <c r="X173" s="428"/>
      <c r="Y173" s="428"/>
      <c r="Z173" s="428"/>
    </row>
    <row r="174" spans="2:26" ht="12.75">
      <c r="B174" s="426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R174" s="428"/>
      <c r="T174" s="428"/>
      <c r="X174" s="428"/>
      <c r="Y174" s="428"/>
      <c r="Z174" s="428"/>
    </row>
    <row r="175" spans="2:26" ht="12.75">
      <c r="B175" s="426"/>
      <c r="H175" s="428"/>
      <c r="I175" s="428"/>
      <c r="J175" s="428"/>
      <c r="K175" s="428"/>
      <c r="L175" s="428"/>
      <c r="M175" s="428"/>
      <c r="N175" s="428"/>
      <c r="O175" s="428"/>
      <c r="P175" s="428"/>
      <c r="Q175" s="428"/>
      <c r="R175" s="428"/>
      <c r="T175" s="428"/>
      <c r="X175" s="428"/>
      <c r="Y175" s="428"/>
      <c r="Z175" s="428"/>
    </row>
    <row r="176" spans="2:26" ht="12.75">
      <c r="B176" s="426"/>
      <c r="H176" s="428"/>
      <c r="I176" s="428"/>
      <c r="J176" s="428"/>
      <c r="K176" s="428"/>
      <c r="L176" s="428"/>
      <c r="M176" s="428"/>
      <c r="N176" s="428"/>
      <c r="O176" s="428"/>
      <c r="P176" s="428"/>
      <c r="Q176" s="428"/>
      <c r="R176" s="428"/>
      <c r="T176" s="428"/>
      <c r="X176" s="428"/>
      <c r="Y176" s="428"/>
      <c r="Z176" s="428"/>
    </row>
    <row r="177" spans="2:26" ht="12.75">
      <c r="B177" s="426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R177" s="428"/>
      <c r="T177" s="428"/>
      <c r="X177" s="428"/>
      <c r="Y177" s="428"/>
      <c r="Z177" s="428"/>
    </row>
    <row r="178" spans="2:26" ht="12.75">
      <c r="B178" s="426"/>
      <c r="H178" s="428"/>
      <c r="I178" s="428"/>
      <c r="J178" s="428"/>
      <c r="K178" s="428"/>
      <c r="L178" s="428"/>
      <c r="M178" s="428"/>
      <c r="N178" s="428"/>
      <c r="O178" s="428"/>
      <c r="P178" s="428"/>
      <c r="Q178" s="428"/>
      <c r="R178" s="428"/>
      <c r="T178" s="428"/>
      <c r="X178" s="428"/>
      <c r="Y178" s="428"/>
      <c r="Z178" s="428"/>
    </row>
    <row r="179" spans="2:26" ht="12.75">
      <c r="B179" s="426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R179" s="428"/>
      <c r="T179" s="428"/>
      <c r="X179" s="428"/>
      <c r="Y179" s="428"/>
      <c r="Z179" s="428"/>
    </row>
    <row r="180" spans="2:26" ht="12.75">
      <c r="B180" s="426"/>
      <c r="H180" s="428"/>
      <c r="I180" s="428"/>
      <c r="J180" s="428"/>
      <c r="K180" s="428"/>
      <c r="L180" s="428"/>
      <c r="M180" s="428"/>
      <c r="N180" s="428"/>
      <c r="O180" s="428"/>
      <c r="P180" s="428"/>
      <c r="Q180" s="428"/>
      <c r="R180" s="428"/>
      <c r="T180" s="428"/>
      <c r="X180" s="428"/>
      <c r="Y180" s="428"/>
      <c r="Z180" s="428"/>
    </row>
    <row r="181" spans="2:26" ht="12.75">
      <c r="B181" s="426"/>
      <c r="H181" s="428"/>
      <c r="I181" s="428"/>
      <c r="J181" s="428"/>
      <c r="K181" s="428"/>
      <c r="L181" s="428"/>
      <c r="M181" s="428"/>
      <c r="N181" s="428"/>
      <c r="O181" s="428"/>
      <c r="P181" s="428"/>
      <c r="Q181" s="428"/>
      <c r="R181" s="428"/>
      <c r="T181" s="428"/>
      <c r="X181" s="428"/>
      <c r="Y181" s="428"/>
      <c r="Z181" s="428"/>
    </row>
    <row r="182" spans="2:26" ht="12.75">
      <c r="B182" s="426"/>
      <c r="H182" s="428"/>
      <c r="I182" s="428"/>
      <c r="J182" s="428"/>
      <c r="K182" s="428"/>
      <c r="L182" s="428"/>
      <c r="M182" s="428"/>
      <c r="N182" s="428"/>
      <c r="O182" s="428"/>
      <c r="P182" s="428"/>
      <c r="Q182" s="428"/>
      <c r="R182" s="428"/>
      <c r="T182" s="428"/>
      <c r="X182" s="428"/>
      <c r="Y182" s="428"/>
      <c r="Z182" s="428"/>
    </row>
    <row r="183" spans="2:26" ht="12.75">
      <c r="B183" s="426"/>
      <c r="H183" s="428"/>
      <c r="I183" s="428"/>
      <c r="J183" s="428"/>
      <c r="K183" s="428"/>
      <c r="L183" s="428"/>
      <c r="M183" s="428"/>
      <c r="N183" s="428"/>
      <c r="O183" s="428"/>
      <c r="P183" s="428"/>
      <c r="Q183" s="428"/>
      <c r="R183" s="428"/>
      <c r="T183" s="428"/>
      <c r="X183" s="428"/>
      <c r="Y183" s="428"/>
      <c r="Z183" s="428"/>
    </row>
    <row r="184" spans="2:26" ht="12.75">
      <c r="B184" s="426"/>
      <c r="H184" s="428"/>
      <c r="I184" s="428"/>
      <c r="J184" s="428"/>
      <c r="K184" s="428"/>
      <c r="L184" s="428"/>
      <c r="M184" s="428"/>
      <c r="N184" s="428"/>
      <c r="O184" s="428"/>
      <c r="P184" s="428"/>
      <c r="Q184" s="428"/>
      <c r="R184" s="428"/>
      <c r="T184" s="428"/>
      <c r="X184" s="428"/>
      <c r="Y184" s="428"/>
      <c r="Z184" s="428"/>
    </row>
    <row r="185" spans="2:26" ht="12.75">
      <c r="B185" s="426"/>
      <c r="H185" s="428"/>
      <c r="I185" s="428"/>
      <c r="J185" s="428"/>
      <c r="K185" s="428"/>
      <c r="L185" s="428"/>
      <c r="M185" s="428"/>
      <c r="N185" s="428"/>
      <c r="O185" s="428"/>
      <c r="P185" s="428"/>
      <c r="Q185" s="428"/>
      <c r="R185" s="428"/>
      <c r="T185" s="428"/>
      <c r="X185" s="428"/>
      <c r="Y185" s="428"/>
      <c r="Z185" s="428"/>
    </row>
    <row r="186" spans="2:26" ht="12.75">
      <c r="B186" s="426"/>
      <c r="H186" s="428"/>
      <c r="I186" s="428"/>
      <c r="J186" s="428"/>
      <c r="K186" s="428"/>
      <c r="L186" s="428"/>
      <c r="M186" s="428"/>
      <c r="N186" s="428"/>
      <c r="O186" s="428"/>
      <c r="P186" s="428"/>
      <c r="Q186" s="428"/>
      <c r="R186" s="428"/>
      <c r="T186" s="428"/>
      <c r="X186" s="428"/>
      <c r="Y186" s="428"/>
      <c r="Z186" s="428"/>
    </row>
    <row r="187" spans="2:26" ht="12.75">
      <c r="B187" s="426"/>
      <c r="H187" s="428"/>
      <c r="I187" s="428"/>
      <c r="J187" s="428"/>
      <c r="K187" s="428"/>
      <c r="L187" s="428"/>
      <c r="M187" s="428"/>
      <c r="N187" s="428"/>
      <c r="O187" s="428"/>
      <c r="P187" s="428"/>
      <c r="Q187" s="428"/>
      <c r="R187" s="428"/>
      <c r="T187" s="428"/>
      <c r="X187" s="428"/>
      <c r="Y187" s="428"/>
      <c r="Z187" s="428"/>
    </row>
    <row r="188" spans="2:26" ht="12.75">
      <c r="B188" s="426"/>
      <c r="H188" s="428"/>
      <c r="I188" s="428"/>
      <c r="J188" s="428"/>
      <c r="K188" s="428"/>
      <c r="L188" s="428"/>
      <c r="M188" s="428"/>
      <c r="N188" s="428"/>
      <c r="O188" s="428"/>
      <c r="P188" s="428"/>
      <c r="Q188" s="428"/>
      <c r="R188" s="428"/>
      <c r="T188" s="428"/>
      <c r="X188" s="428"/>
      <c r="Y188" s="428"/>
      <c r="Z188" s="428"/>
    </row>
    <row r="189" spans="2:26" ht="12.75">
      <c r="B189" s="426"/>
      <c r="H189" s="428"/>
      <c r="I189" s="428"/>
      <c r="J189" s="428"/>
      <c r="K189" s="428"/>
      <c r="L189" s="428"/>
      <c r="M189" s="428"/>
      <c r="N189" s="428"/>
      <c r="O189" s="428"/>
      <c r="P189" s="428"/>
      <c r="Q189" s="428"/>
      <c r="R189" s="428"/>
      <c r="T189" s="428"/>
      <c r="X189" s="428"/>
      <c r="Y189" s="428"/>
      <c r="Z189" s="428"/>
    </row>
    <row r="190" spans="2:26" ht="12.75">
      <c r="B190" s="426"/>
      <c r="H190" s="428"/>
      <c r="I190" s="428"/>
      <c r="J190" s="428"/>
      <c r="K190" s="428"/>
      <c r="L190" s="428"/>
      <c r="M190" s="428"/>
      <c r="N190" s="428"/>
      <c r="O190" s="428"/>
      <c r="P190" s="428"/>
      <c r="Q190" s="428"/>
      <c r="R190" s="428"/>
      <c r="T190" s="428"/>
      <c r="X190" s="428"/>
      <c r="Y190" s="428"/>
      <c r="Z190" s="428"/>
    </row>
    <row r="191" spans="2:26" ht="12.75">
      <c r="B191" s="426"/>
      <c r="H191" s="428"/>
      <c r="I191" s="428"/>
      <c r="J191" s="428"/>
      <c r="K191" s="428"/>
      <c r="L191" s="428"/>
      <c r="M191" s="428"/>
      <c r="N191" s="428"/>
      <c r="O191" s="428"/>
      <c r="P191" s="428"/>
      <c r="Q191" s="428"/>
      <c r="R191" s="428"/>
      <c r="T191" s="428"/>
      <c r="X191" s="428"/>
      <c r="Y191" s="428"/>
      <c r="Z191" s="428"/>
    </row>
    <row r="192" spans="2:26" ht="12.75">
      <c r="B192" s="426"/>
      <c r="H192" s="428"/>
      <c r="I192" s="428"/>
      <c r="J192" s="428"/>
      <c r="K192" s="428"/>
      <c r="L192" s="428"/>
      <c r="M192" s="428"/>
      <c r="N192" s="428"/>
      <c r="O192" s="428"/>
      <c r="P192" s="428"/>
      <c r="Q192" s="428"/>
      <c r="R192" s="428"/>
      <c r="T192" s="428"/>
      <c r="X192" s="428"/>
      <c r="Y192" s="428"/>
      <c r="Z192" s="428"/>
    </row>
    <row r="193" spans="2:26" ht="12.75">
      <c r="B193" s="426"/>
      <c r="H193" s="428"/>
      <c r="I193" s="428"/>
      <c r="J193" s="428"/>
      <c r="K193" s="428"/>
      <c r="L193" s="428"/>
      <c r="M193" s="428"/>
      <c r="N193" s="428"/>
      <c r="O193" s="428"/>
      <c r="P193" s="428"/>
      <c r="Q193" s="428"/>
      <c r="R193" s="428"/>
      <c r="T193" s="428"/>
      <c r="X193" s="428"/>
      <c r="Y193" s="428"/>
      <c r="Z193" s="428"/>
    </row>
    <row r="194" spans="2:26" ht="12.75">
      <c r="B194" s="426"/>
      <c r="H194" s="428"/>
      <c r="I194" s="428"/>
      <c r="J194" s="428"/>
      <c r="K194" s="428"/>
      <c r="L194" s="428"/>
      <c r="M194" s="428"/>
      <c r="N194" s="428"/>
      <c r="O194" s="428"/>
      <c r="P194" s="428"/>
      <c r="Q194" s="428"/>
      <c r="R194" s="428"/>
      <c r="T194" s="428"/>
      <c r="X194" s="428"/>
      <c r="Y194" s="428"/>
      <c r="Z194" s="428"/>
    </row>
    <row r="195" spans="2:26" ht="12.75">
      <c r="B195" s="426"/>
      <c r="H195" s="428"/>
      <c r="I195" s="428"/>
      <c r="J195" s="428"/>
      <c r="K195" s="428"/>
      <c r="L195" s="428"/>
      <c r="M195" s="428"/>
      <c r="N195" s="428"/>
      <c r="O195" s="428"/>
      <c r="P195" s="428"/>
      <c r="Q195" s="428"/>
      <c r="R195" s="428"/>
      <c r="T195" s="428"/>
      <c r="X195" s="428"/>
      <c r="Y195" s="428"/>
      <c r="Z195" s="428"/>
    </row>
    <row r="196" spans="2:26" ht="12.75">
      <c r="B196" s="426"/>
      <c r="H196" s="428"/>
      <c r="I196" s="428"/>
      <c r="J196" s="428"/>
      <c r="K196" s="428"/>
      <c r="L196" s="428"/>
      <c r="M196" s="428"/>
      <c r="N196" s="428"/>
      <c r="O196" s="428"/>
      <c r="P196" s="428"/>
      <c r="Q196" s="428"/>
      <c r="R196" s="428"/>
      <c r="T196" s="428"/>
      <c r="X196" s="428"/>
      <c r="Y196" s="428"/>
      <c r="Z196" s="428"/>
    </row>
    <row r="197" spans="2:26" ht="12.75">
      <c r="B197" s="426"/>
      <c r="H197" s="428"/>
      <c r="I197" s="428"/>
      <c r="J197" s="428"/>
      <c r="K197" s="428"/>
      <c r="L197" s="428"/>
      <c r="M197" s="428"/>
      <c r="N197" s="428"/>
      <c r="O197" s="428"/>
      <c r="P197" s="428"/>
      <c r="Q197" s="428"/>
      <c r="R197" s="428"/>
      <c r="T197" s="428"/>
      <c r="X197" s="428"/>
      <c r="Y197" s="428"/>
      <c r="Z197" s="428"/>
    </row>
    <row r="198" spans="2:26" ht="12.75">
      <c r="B198" s="426"/>
      <c r="H198" s="428"/>
      <c r="I198" s="428"/>
      <c r="J198" s="428"/>
      <c r="K198" s="428"/>
      <c r="L198" s="428"/>
      <c r="M198" s="428"/>
      <c r="N198" s="428"/>
      <c r="O198" s="428"/>
      <c r="P198" s="428"/>
      <c r="Q198" s="428"/>
      <c r="R198" s="428"/>
      <c r="T198" s="428"/>
      <c r="X198" s="428"/>
      <c r="Y198" s="428"/>
      <c r="Z198" s="428"/>
    </row>
    <row r="199" spans="2:26" ht="12.75">
      <c r="B199" s="426"/>
      <c r="H199" s="428"/>
      <c r="I199" s="428"/>
      <c r="J199" s="428"/>
      <c r="K199" s="428"/>
      <c r="L199" s="428"/>
      <c r="M199" s="428"/>
      <c r="N199" s="428"/>
      <c r="O199" s="428"/>
      <c r="P199" s="428"/>
      <c r="Q199" s="428"/>
      <c r="R199" s="428"/>
      <c r="T199" s="428"/>
      <c r="X199" s="428"/>
      <c r="Y199" s="428"/>
      <c r="Z199" s="428"/>
    </row>
    <row r="200" spans="2:26" ht="12.75">
      <c r="B200" s="426"/>
      <c r="H200" s="428"/>
      <c r="I200" s="428"/>
      <c r="J200" s="428"/>
      <c r="K200" s="428"/>
      <c r="L200" s="428"/>
      <c r="M200" s="428"/>
      <c r="N200" s="428"/>
      <c r="O200" s="428"/>
      <c r="P200" s="428"/>
      <c r="Q200" s="428"/>
      <c r="R200" s="428"/>
      <c r="T200" s="428"/>
      <c r="X200" s="428"/>
      <c r="Y200" s="428"/>
      <c r="Z200" s="428"/>
    </row>
    <row r="201" spans="2:26" ht="12.75">
      <c r="B201" s="426"/>
      <c r="H201" s="428"/>
      <c r="I201" s="428"/>
      <c r="J201" s="428"/>
      <c r="K201" s="428"/>
      <c r="L201" s="428"/>
      <c r="M201" s="428"/>
      <c r="N201" s="428"/>
      <c r="O201" s="428"/>
      <c r="P201" s="428"/>
      <c r="Q201" s="428"/>
      <c r="R201" s="428"/>
      <c r="T201" s="428"/>
      <c r="X201" s="428"/>
      <c r="Y201" s="428"/>
      <c r="Z201" s="428"/>
    </row>
    <row r="202" spans="2:26" ht="12.75">
      <c r="B202" s="426"/>
      <c r="H202" s="428"/>
      <c r="I202" s="428"/>
      <c r="J202" s="428"/>
      <c r="K202" s="428"/>
      <c r="L202" s="428"/>
      <c r="M202" s="428"/>
      <c r="N202" s="428"/>
      <c r="O202" s="428"/>
      <c r="P202" s="428"/>
      <c r="Q202" s="428"/>
      <c r="R202" s="428"/>
      <c r="T202" s="428"/>
      <c r="X202" s="428"/>
      <c r="Y202" s="428"/>
      <c r="Z202" s="428"/>
    </row>
    <row r="203" spans="2:26" ht="12.75">
      <c r="B203" s="426"/>
      <c r="H203" s="428"/>
      <c r="I203" s="428"/>
      <c r="J203" s="428"/>
      <c r="K203" s="428"/>
      <c r="L203" s="428"/>
      <c r="M203" s="428"/>
      <c r="N203" s="428"/>
      <c r="O203" s="428"/>
      <c r="P203" s="428"/>
      <c r="Q203" s="428"/>
      <c r="R203" s="428"/>
      <c r="T203" s="428"/>
      <c r="X203" s="428"/>
      <c r="Y203" s="428"/>
      <c r="Z203" s="428"/>
    </row>
    <row r="204" spans="2:26" ht="12.75">
      <c r="B204" s="426"/>
      <c r="H204" s="428"/>
      <c r="I204" s="428"/>
      <c r="J204" s="428"/>
      <c r="K204" s="428"/>
      <c r="L204" s="428"/>
      <c r="M204" s="428"/>
      <c r="N204" s="428"/>
      <c r="O204" s="428"/>
      <c r="P204" s="428"/>
      <c r="Q204" s="428"/>
      <c r="R204" s="428"/>
      <c r="T204" s="428"/>
      <c r="X204" s="428"/>
      <c r="Y204" s="428"/>
      <c r="Z204" s="428"/>
    </row>
    <row r="205" spans="2:26" ht="12.75">
      <c r="B205" s="426"/>
      <c r="H205" s="428"/>
      <c r="I205" s="428"/>
      <c r="J205" s="428"/>
      <c r="K205" s="428"/>
      <c r="L205" s="428"/>
      <c r="M205" s="428"/>
      <c r="N205" s="428"/>
      <c r="O205" s="428"/>
      <c r="P205" s="428"/>
      <c r="Q205" s="428"/>
      <c r="R205" s="428"/>
      <c r="T205" s="428"/>
      <c r="X205" s="428"/>
      <c r="Y205" s="428"/>
      <c r="Z205" s="428"/>
    </row>
    <row r="206" spans="2:26" ht="12.75">
      <c r="B206" s="426"/>
      <c r="H206" s="428"/>
      <c r="I206" s="428"/>
      <c r="J206" s="428"/>
      <c r="K206" s="428"/>
      <c r="L206" s="428"/>
      <c r="M206" s="428"/>
      <c r="N206" s="428"/>
      <c r="O206" s="428"/>
      <c r="P206" s="428"/>
      <c r="Q206" s="428"/>
      <c r="R206" s="428"/>
      <c r="T206" s="428"/>
      <c r="X206" s="428"/>
      <c r="Y206" s="428"/>
      <c r="Z206" s="428"/>
    </row>
    <row r="207" spans="2:26" ht="12.75">
      <c r="B207" s="426"/>
      <c r="H207" s="428"/>
      <c r="I207" s="428"/>
      <c r="J207" s="428"/>
      <c r="K207" s="428"/>
      <c r="L207" s="428"/>
      <c r="M207" s="428"/>
      <c r="N207" s="428"/>
      <c r="O207" s="428"/>
      <c r="P207" s="428"/>
      <c r="Q207" s="428"/>
      <c r="R207" s="428"/>
      <c r="T207" s="428"/>
      <c r="X207" s="428"/>
      <c r="Y207" s="428"/>
      <c r="Z207" s="428"/>
    </row>
    <row r="208" spans="2:26" ht="12.75">
      <c r="B208" s="426"/>
      <c r="H208" s="428"/>
      <c r="I208" s="428"/>
      <c r="J208" s="428"/>
      <c r="K208" s="428"/>
      <c r="L208" s="428"/>
      <c r="M208" s="428"/>
      <c r="N208" s="428"/>
      <c r="O208" s="428"/>
      <c r="P208" s="428"/>
      <c r="Q208" s="428"/>
      <c r="R208" s="428"/>
      <c r="T208" s="428"/>
      <c r="X208" s="428"/>
      <c r="Y208" s="428"/>
      <c r="Z208" s="428"/>
    </row>
    <row r="209" spans="2:26" ht="12.75">
      <c r="B209" s="426"/>
      <c r="H209" s="428"/>
      <c r="I209" s="428"/>
      <c r="J209" s="428"/>
      <c r="K209" s="428"/>
      <c r="L209" s="428"/>
      <c r="M209" s="428"/>
      <c r="N209" s="428"/>
      <c r="O209" s="428"/>
      <c r="P209" s="428"/>
      <c r="Q209" s="428"/>
      <c r="R209" s="428"/>
      <c r="T209" s="428"/>
      <c r="X209" s="428"/>
      <c r="Y209" s="428"/>
      <c r="Z209" s="428"/>
    </row>
    <row r="210" spans="2:26" ht="12.75">
      <c r="B210" s="426"/>
      <c r="H210" s="428"/>
      <c r="I210" s="428"/>
      <c r="J210" s="428"/>
      <c r="K210" s="428"/>
      <c r="L210" s="428"/>
      <c r="M210" s="428"/>
      <c r="N210" s="428"/>
      <c r="O210" s="428"/>
      <c r="P210" s="428"/>
      <c r="Q210" s="428"/>
      <c r="R210" s="428"/>
      <c r="T210" s="428"/>
      <c r="X210" s="428"/>
      <c r="Y210" s="428"/>
      <c r="Z210" s="428"/>
    </row>
    <row r="211" spans="2:26" ht="12.75">
      <c r="B211" s="426"/>
      <c r="H211" s="428"/>
      <c r="I211" s="428"/>
      <c r="J211" s="428"/>
      <c r="K211" s="428"/>
      <c r="L211" s="428"/>
      <c r="M211" s="428"/>
      <c r="N211" s="428"/>
      <c r="O211" s="428"/>
      <c r="P211" s="428"/>
      <c r="Q211" s="428"/>
      <c r="R211" s="428"/>
      <c r="T211" s="428"/>
      <c r="X211" s="428"/>
      <c r="Y211" s="428"/>
      <c r="Z211" s="428"/>
    </row>
    <row r="212" spans="2:26" ht="12.75">
      <c r="B212" s="426"/>
      <c r="H212" s="428"/>
      <c r="I212" s="428"/>
      <c r="J212" s="428"/>
      <c r="K212" s="428"/>
      <c r="L212" s="428"/>
      <c r="M212" s="428"/>
      <c r="N212" s="428"/>
      <c r="O212" s="428"/>
      <c r="P212" s="428"/>
      <c r="Q212" s="428"/>
      <c r="R212" s="428"/>
      <c r="T212" s="428"/>
      <c r="X212" s="428"/>
      <c r="Y212" s="428"/>
      <c r="Z212" s="428"/>
    </row>
    <row r="213" spans="2:26" ht="12.75">
      <c r="B213" s="426"/>
      <c r="H213" s="428"/>
      <c r="I213" s="428"/>
      <c r="J213" s="428"/>
      <c r="K213" s="428"/>
      <c r="L213" s="428"/>
      <c r="M213" s="428"/>
      <c r="N213" s="428"/>
      <c r="O213" s="428"/>
      <c r="P213" s="428"/>
      <c r="Q213" s="428"/>
      <c r="R213" s="428"/>
      <c r="T213" s="428"/>
      <c r="X213" s="428"/>
      <c r="Y213" s="428"/>
      <c r="Z213" s="428"/>
    </row>
    <row r="214" spans="2:26" ht="12.75">
      <c r="B214" s="426"/>
      <c r="H214" s="428"/>
      <c r="I214" s="428"/>
      <c r="J214" s="428"/>
      <c r="K214" s="428"/>
      <c r="L214" s="428"/>
      <c r="M214" s="428"/>
      <c r="N214" s="428"/>
      <c r="O214" s="428"/>
      <c r="P214" s="428"/>
      <c r="Q214" s="428"/>
      <c r="R214" s="428"/>
      <c r="T214" s="428"/>
      <c r="X214" s="428"/>
      <c r="Y214" s="428"/>
      <c r="Z214" s="428"/>
    </row>
    <row r="215" spans="2:26" ht="12.75">
      <c r="B215" s="426"/>
      <c r="H215" s="428"/>
      <c r="I215" s="428"/>
      <c r="J215" s="428"/>
      <c r="K215" s="428"/>
      <c r="L215" s="428"/>
      <c r="M215" s="428"/>
      <c r="N215" s="428"/>
      <c r="O215" s="428"/>
      <c r="P215" s="428"/>
      <c r="Q215" s="428"/>
      <c r="R215" s="428"/>
      <c r="T215" s="428"/>
      <c r="X215" s="428"/>
      <c r="Y215" s="428"/>
      <c r="Z215" s="428"/>
    </row>
    <row r="216" spans="2:26" ht="12.75">
      <c r="B216" s="426"/>
      <c r="H216" s="428"/>
      <c r="I216" s="428"/>
      <c r="J216" s="428"/>
      <c r="K216" s="428"/>
      <c r="L216" s="428"/>
      <c r="M216" s="428"/>
      <c r="N216" s="428"/>
      <c r="O216" s="428"/>
      <c r="P216" s="428"/>
      <c r="Q216" s="428"/>
      <c r="R216" s="428"/>
      <c r="T216" s="428"/>
      <c r="X216" s="428"/>
      <c r="Y216" s="428"/>
      <c r="Z216" s="428"/>
    </row>
    <row r="217" spans="2:26" ht="12.75">
      <c r="B217" s="426"/>
      <c r="H217" s="428"/>
      <c r="I217" s="428"/>
      <c r="J217" s="428"/>
      <c r="K217" s="428"/>
      <c r="L217" s="428"/>
      <c r="M217" s="428"/>
      <c r="N217" s="428"/>
      <c r="O217" s="428"/>
      <c r="P217" s="428"/>
      <c r="Q217" s="428"/>
      <c r="R217" s="428"/>
      <c r="T217" s="428"/>
      <c r="X217" s="428"/>
      <c r="Y217" s="428"/>
      <c r="Z217" s="428"/>
    </row>
    <row r="218" spans="2:26" ht="12.75">
      <c r="B218" s="426"/>
      <c r="H218" s="428"/>
      <c r="I218" s="428"/>
      <c r="J218" s="428"/>
      <c r="K218" s="428"/>
      <c r="L218" s="428"/>
      <c r="M218" s="428"/>
      <c r="N218" s="428"/>
      <c r="O218" s="428"/>
      <c r="P218" s="428"/>
      <c r="Q218" s="428"/>
      <c r="R218" s="428"/>
      <c r="T218" s="428"/>
      <c r="X218" s="428"/>
      <c r="Y218" s="428"/>
      <c r="Z218" s="428"/>
    </row>
    <row r="219" spans="2:26" ht="12.75">
      <c r="B219" s="426"/>
      <c r="H219" s="428"/>
      <c r="I219" s="428"/>
      <c r="J219" s="428"/>
      <c r="K219" s="428"/>
      <c r="L219" s="428"/>
      <c r="M219" s="428"/>
      <c r="N219" s="428"/>
      <c r="O219" s="428"/>
      <c r="P219" s="428"/>
      <c r="Q219" s="428"/>
      <c r="R219" s="428"/>
      <c r="T219" s="428"/>
      <c r="X219" s="428"/>
      <c r="Y219" s="428"/>
      <c r="Z219" s="428"/>
    </row>
    <row r="220" spans="2:26" ht="12.75">
      <c r="B220" s="426"/>
      <c r="H220" s="428"/>
      <c r="I220" s="428"/>
      <c r="J220" s="428"/>
      <c r="K220" s="428"/>
      <c r="L220" s="428"/>
      <c r="M220" s="428"/>
      <c r="N220" s="428"/>
      <c r="O220" s="428"/>
      <c r="P220" s="428"/>
      <c r="Q220" s="428"/>
      <c r="R220" s="428"/>
      <c r="T220" s="428"/>
      <c r="X220" s="428"/>
      <c r="Y220" s="428"/>
      <c r="Z220" s="428"/>
    </row>
    <row r="221" spans="2:26" ht="12.75">
      <c r="B221" s="426"/>
      <c r="H221" s="428"/>
      <c r="I221" s="428"/>
      <c r="J221" s="428"/>
      <c r="K221" s="428"/>
      <c r="L221" s="428"/>
      <c r="M221" s="428"/>
      <c r="N221" s="428"/>
      <c r="O221" s="428"/>
      <c r="P221" s="428"/>
      <c r="Q221" s="428"/>
      <c r="R221" s="428"/>
      <c r="T221" s="428"/>
      <c r="X221" s="428"/>
      <c r="Y221" s="428"/>
      <c r="Z221" s="428"/>
    </row>
    <row r="222" spans="2:26" ht="12.75">
      <c r="B222" s="426"/>
      <c r="H222" s="428"/>
      <c r="I222" s="428"/>
      <c r="J222" s="428"/>
      <c r="K222" s="428"/>
      <c r="L222" s="428"/>
      <c r="M222" s="428"/>
      <c r="N222" s="428"/>
      <c r="O222" s="428"/>
      <c r="P222" s="428"/>
      <c r="Q222" s="428"/>
      <c r="R222" s="428"/>
      <c r="T222" s="428"/>
      <c r="X222" s="428"/>
      <c r="Y222" s="428"/>
      <c r="Z222" s="428"/>
    </row>
    <row r="223" spans="2:26" ht="12.75">
      <c r="B223" s="426"/>
      <c r="H223" s="428"/>
      <c r="I223" s="428"/>
      <c r="J223" s="428"/>
      <c r="K223" s="428"/>
      <c r="L223" s="428"/>
      <c r="M223" s="428"/>
      <c r="N223" s="428"/>
      <c r="O223" s="428"/>
      <c r="P223" s="428"/>
      <c r="Q223" s="428"/>
      <c r="R223" s="428"/>
      <c r="T223" s="428"/>
      <c r="X223" s="428"/>
      <c r="Y223" s="428"/>
      <c r="Z223" s="428"/>
    </row>
    <row r="224" spans="2:26" ht="12.75">
      <c r="B224" s="426"/>
      <c r="H224" s="428"/>
      <c r="I224" s="428"/>
      <c r="J224" s="428"/>
      <c r="K224" s="428"/>
      <c r="L224" s="428"/>
      <c r="M224" s="428"/>
      <c r="N224" s="428"/>
      <c r="O224" s="428"/>
      <c r="P224" s="428"/>
      <c r="Q224" s="428"/>
      <c r="R224" s="428"/>
      <c r="T224" s="428"/>
      <c r="X224" s="428"/>
      <c r="Y224" s="428"/>
      <c r="Z224" s="428"/>
    </row>
    <row r="225" spans="2:26" ht="12.75">
      <c r="B225" s="426"/>
      <c r="H225" s="428"/>
      <c r="I225" s="428"/>
      <c r="J225" s="428"/>
      <c r="K225" s="428"/>
      <c r="L225" s="428"/>
      <c r="M225" s="428"/>
      <c r="N225" s="428"/>
      <c r="O225" s="428"/>
      <c r="P225" s="428"/>
      <c r="Q225" s="428"/>
      <c r="R225" s="428"/>
      <c r="T225" s="428"/>
      <c r="X225" s="428"/>
      <c r="Y225" s="428"/>
      <c r="Z225" s="428"/>
    </row>
    <row r="226" spans="2:26" ht="12.75">
      <c r="B226" s="426"/>
      <c r="H226" s="428"/>
      <c r="I226" s="428"/>
      <c r="J226" s="428"/>
      <c r="K226" s="428"/>
      <c r="L226" s="428"/>
      <c r="M226" s="428"/>
      <c r="N226" s="428"/>
      <c r="O226" s="428"/>
      <c r="P226" s="428"/>
      <c r="Q226" s="428"/>
      <c r="R226" s="428"/>
      <c r="T226" s="428"/>
      <c r="X226" s="428"/>
      <c r="Y226" s="428"/>
      <c r="Z226" s="428"/>
    </row>
    <row r="227" spans="2:26" ht="12.75">
      <c r="B227" s="426"/>
      <c r="H227" s="428"/>
      <c r="I227" s="428"/>
      <c r="J227" s="428"/>
      <c r="K227" s="428"/>
      <c r="L227" s="428"/>
      <c r="M227" s="428"/>
      <c r="N227" s="428"/>
      <c r="O227" s="428"/>
      <c r="P227" s="428"/>
      <c r="Q227" s="428"/>
      <c r="R227" s="428"/>
      <c r="T227" s="428"/>
      <c r="X227" s="428"/>
      <c r="Y227" s="428"/>
      <c r="Z227" s="428"/>
    </row>
    <row r="228" spans="2:26" ht="12.75">
      <c r="B228" s="426"/>
      <c r="H228" s="428"/>
      <c r="I228" s="428"/>
      <c r="J228" s="428"/>
      <c r="K228" s="428"/>
      <c r="L228" s="428"/>
      <c r="M228" s="428"/>
      <c r="N228" s="428"/>
      <c r="O228" s="428"/>
      <c r="P228" s="428"/>
      <c r="Q228" s="428"/>
      <c r="R228" s="428"/>
      <c r="T228" s="428"/>
      <c r="X228" s="428"/>
      <c r="Y228" s="428"/>
      <c r="Z228" s="428"/>
    </row>
    <row r="229" spans="2:26" ht="12.75">
      <c r="B229" s="426"/>
      <c r="H229" s="428"/>
      <c r="I229" s="428"/>
      <c r="J229" s="428"/>
      <c r="K229" s="428"/>
      <c r="L229" s="428"/>
      <c r="M229" s="428"/>
      <c r="N229" s="428"/>
      <c r="O229" s="428"/>
      <c r="P229" s="428"/>
      <c r="Q229" s="428"/>
      <c r="R229" s="428"/>
      <c r="T229" s="428"/>
      <c r="X229" s="428"/>
      <c r="Y229" s="428"/>
      <c r="Z229" s="428"/>
    </row>
    <row r="230" spans="2:26" ht="12.75">
      <c r="B230" s="426"/>
      <c r="H230" s="428"/>
      <c r="I230" s="428"/>
      <c r="J230" s="428"/>
      <c r="K230" s="428"/>
      <c r="L230" s="428"/>
      <c r="M230" s="428"/>
      <c r="N230" s="428"/>
      <c r="O230" s="428"/>
      <c r="P230" s="428"/>
      <c r="Q230" s="428"/>
      <c r="R230" s="428"/>
      <c r="T230" s="428"/>
      <c r="X230" s="428"/>
      <c r="Y230" s="428"/>
      <c r="Z230" s="428"/>
    </row>
    <row r="231" spans="2:26" ht="12.75">
      <c r="B231" s="426"/>
      <c r="H231" s="428"/>
      <c r="I231" s="428"/>
      <c r="J231" s="428"/>
      <c r="K231" s="428"/>
      <c r="L231" s="428"/>
      <c r="M231" s="428"/>
      <c r="N231" s="428"/>
      <c r="O231" s="428"/>
      <c r="P231" s="428"/>
      <c r="Q231" s="428"/>
      <c r="R231" s="428"/>
      <c r="T231" s="428"/>
      <c r="X231" s="428"/>
      <c r="Y231" s="428"/>
      <c r="Z231" s="428"/>
    </row>
    <row r="232" spans="2:26" ht="12.75">
      <c r="B232" s="426"/>
      <c r="H232" s="428"/>
      <c r="I232" s="428"/>
      <c r="J232" s="428"/>
      <c r="K232" s="428"/>
      <c r="L232" s="428"/>
      <c r="M232" s="428"/>
      <c r="N232" s="428"/>
      <c r="O232" s="428"/>
      <c r="P232" s="428"/>
      <c r="Q232" s="428"/>
      <c r="R232" s="428"/>
      <c r="T232" s="428"/>
      <c r="X232" s="428"/>
      <c r="Y232" s="428"/>
      <c r="Z232" s="428"/>
    </row>
    <row r="233" spans="2:26" ht="12.75">
      <c r="B233" s="426"/>
      <c r="H233" s="428"/>
      <c r="I233" s="428"/>
      <c r="J233" s="428"/>
      <c r="K233" s="428"/>
      <c r="L233" s="428"/>
      <c r="M233" s="428"/>
      <c r="N233" s="428"/>
      <c r="O233" s="428"/>
      <c r="P233" s="428"/>
      <c r="Q233" s="428"/>
      <c r="R233" s="428"/>
      <c r="T233" s="428"/>
      <c r="X233" s="428"/>
      <c r="Y233" s="428"/>
      <c r="Z233" s="428"/>
    </row>
    <row r="234" spans="2:26" ht="12.75">
      <c r="B234" s="426"/>
      <c r="H234" s="428"/>
      <c r="I234" s="428"/>
      <c r="J234" s="428"/>
      <c r="K234" s="428"/>
      <c r="L234" s="428"/>
      <c r="M234" s="428"/>
      <c r="N234" s="428"/>
      <c r="O234" s="428"/>
      <c r="P234" s="428"/>
      <c r="Q234" s="428"/>
      <c r="R234" s="428"/>
      <c r="T234" s="428"/>
      <c r="X234" s="428"/>
      <c r="Y234" s="428"/>
      <c r="Z234" s="428"/>
    </row>
    <row r="235" spans="2:26" ht="12.75">
      <c r="B235" s="426"/>
      <c r="H235" s="428"/>
      <c r="I235" s="428"/>
      <c r="J235" s="428"/>
      <c r="K235" s="428"/>
      <c r="L235" s="428"/>
      <c r="M235" s="428"/>
      <c r="N235" s="428"/>
      <c r="O235" s="428"/>
      <c r="P235" s="428"/>
      <c r="Q235" s="428"/>
      <c r="R235" s="428"/>
      <c r="T235" s="428"/>
      <c r="X235" s="428"/>
      <c r="Y235" s="428"/>
      <c r="Z235" s="428"/>
    </row>
    <row r="236" spans="2:26" ht="12.75">
      <c r="B236" s="426"/>
      <c r="H236" s="428"/>
      <c r="I236" s="428"/>
      <c r="J236" s="428"/>
      <c r="K236" s="428"/>
      <c r="L236" s="428"/>
      <c r="M236" s="428"/>
      <c r="N236" s="428"/>
      <c r="O236" s="428"/>
      <c r="P236" s="428"/>
      <c r="Q236" s="428"/>
      <c r="R236" s="428"/>
      <c r="T236" s="428"/>
      <c r="X236" s="428"/>
      <c r="Y236" s="428"/>
      <c r="Z236" s="428"/>
    </row>
    <row r="237" spans="2:26" ht="12.75">
      <c r="B237" s="426"/>
      <c r="H237" s="428"/>
      <c r="I237" s="428"/>
      <c r="J237" s="428"/>
      <c r="K237" s="428"/>
      <c r="L237" s="428"/>
      <c r="M237" s="428"/>
      <c r="N237" s="428"/>
      <c r="O237" s="428"/>
      <c r="P237" s="428"/>
      <c r="Q237" s="428"/>
      <c r="R237" s="428"/>
      <c r="T237" s="428"/>
      <c r="X237" s="428"/>
      <c r="Y237" s="428"/>
      <c r="Z237" s="428"/>
    </row>
    <row r="238" spans="2:26" ht="12.75">
      <c r="B238" s="426"/>
      <c r="H238" s="428"/>
      <c r="I238" s="428"/>
      <c r="J238" s="428"/>
      <c r="K238" s="428"/>
      <c r="L238" s="428"/>
      <c r="M238" s="428"/>
      <c r="N238" s="428"/>
      <c r="O238" s="428"/>
      <c r="P238" s="428"/>
      <c r="Q238" s="428"/>
      <c r="R238" s="428"/>
      <c r="T238" s="428"/>
      <c r="X238" s="428"/>
      <c r="Y238" s="428"/>
      <c r="Z238" s="428"/>
    </row>
    <row r="239" spans="2:26" ht="12.75">
      <c r="B239" s="426"/>
      <c r="H239" s="428"/>
      <c r="I239" s="428"/>
      <c r="J239" s="428"/>
      <c r="K239" s="428"/>
      <c r="L239" s="428"/>
      <c r="M239" s="428"/>
      <c r="N239" s="428"/>
      <c r="O239" s="428"/>
      <c r="P239" s="428"/>
      <c r="Q239" s="428"/>
      <c r="R239" s="428"/>
      <c r="T239" s="428"/>
      <c r="X239" s="428"/>
      <c r="Y239" s="428"/>
      <c r="Z239" s="428"/>
    </row>
    <row r="240" spans="2:26" ht="12.75">
      <c r="B240" s="426"/>
      <c r="H240" s="428"/>
      <c r="I240" s="428"/>
      <c r="J240" s="428"/>
      <c r="K240" s="428"/>
      <c r="L240" s="428"/>
      <c r="M240" s="428"/>
      <c r="N240" s="428"/>
      <c r="O240" s="428"/>
      <c r="P240" s="428"/>
      <c r="Q240" s="428"/>
      <c r="R240" s="428"/>
      <c r="T240" s="428"/>
      <c r="X240" s="428"/>
      <c r="Y240" s="428"/>
      <c r="Z240" s="428"/>
    </row>
    <row r="241" spans="2:26" ht="12.75">
      <c r="B241" s="426"/>
      <c r="H241" s="428"/>
      <c r="I241" s="428"/>
      <c r="J241" s="428"/>
      <c r="K241" s="428"/>
      <c r="L241" s="428"/>
      <c r="M241" s="428"/>
      <c r="N241" s="428"/>
      <c r="O241" s="428"/>
      <c r="P241" s="428"/>
      <c r="Q241" s="428"/>
      <c r="R241" s="428"/>
      <c r="T241" s="428"/>
      <c r="X241" s="428"/>
      <c r="Y241" s="428"/>
      <c r="Z241" s="428"/>
    </row>
    <row r="242" spans="2:26" ht="12.75">
      <c r="B242" s="426"/>
      <c r="H242" s="428"/>
      <c r="I242" s="428"/>
      <c r="J242" s="428"/>
      <c r="K242" s="428"/>
      <c r="L242" s="428"/>
      <c r="M242" s="428"/>
      <c r="N242" s="428"/>
      <c r="O242" s="428"/>
      <c r="P242" s="428"/>
      <c r="Q242" s="428"/>
      <c r="R242" s="428"/>
      <c r="T242" s="428"/>
      <c r="X242" s="428"/>
      <c r="Y242" s="428"/>
      <c r="Z242" s="428"/>
    </row>
    <row r="243" spans="2:26" ht="12.75">
      <c r="B243" s="426"/>
      <c r="H243" s="428"/>
      <c r="I243" s="428"/>
      <c r="J243" s="428"/>
      <c r="K243" s="428"/>
      <c r="L243" s="428"/>
      <c r="M243" s="428"/>
      <c r="N243" s="428"/>
      <c r="O243" s="428"/>
      <c r="P243" s="428"/>
      <c r="Q243" s="428"/>
      <c r="R243" s="428"/>
      <c r="T243" s="428"/>
      <c r="X243" s="428"/>
      <c r="Y243" s="428"/>
      <c r="Z243" s="428"/>
    </row>
    <row r="244" spans="2:26" ht="12.75">
      <c r="B244" s="426"/>
      <c r="H244" s="428"/>
      <c r="I244" s="428"/>
      <c r="J244" s="428"/>
      <c r="K244" s="428"/>
      <c r="L244" s="428"/>
      <c r="M244" s="428"/>
      <c r="N244" s="428"/>
      <c r="O244" s="428"/>
      <c r="P244" s="428"/>
      <c r="Q244" s="428"/>
      <c r="R244" s="428"/>
      <c r="T244" s="428"/>
      <c r="X244" s="428"/>
      <c r="Y244" s="428"/>
      <c r="Z244" s="428"/>
    </row>
    <row r="245" spans="2:26" ht="12.75">
      <c r="B245" s="426"/>
      <c r="H245" s="428"/>
      <c r="I245" s="428"/>
      <c r="J245" s="428"/>
      <c r="K245" s="428"/>
      <c r="L245" s="428"/>
      <c r="M245" s="428"/>
      <c r="N245" s="428"/>
      <c r="O245" s="428"/>
      <c r="P245" s="428"/>
      <c r="Q245" s="428"/>
      <c r="R245" s="428"/>
      <c r="T245" s="428"/>
      <c r="X245" s="428"/>
      <c r="Y245" s="428"/>
      <c r="Z245" s="428"/>
    </row>
    <row r="246" spans="2:26" ht="12.75">
      <c r="B246" s="426"/>
      <c r="H246" s="428"/>
      <c r="I246" s="428"/>
      <c r="J246" s="428"/>
      <c r="K246" s="428"/>
      <c r="L246" s="428"/>
      <c r="M246" s="428"/>
      <c r="N246" s="428"/>
      <c r="O246" s="428"/>
      <c r="P246" s="428"/>
      <c r="Q246" s="428"/>
      <c r="R246" s="428"/>
      <c r="T246" s="428"/>
      <c r="X246" s="428"/>
      <c r="Y246" s="428"/>
      <c r="Z246" s="428"/>
    </row>
    <row r="247" spans="2:26" ht="12.75">
      <c r="B247" s="426"/>
      <c r="H247" s="428"/>
      <c r="I247" s="428"/>
      <c r="J247" s="428"/>
      <c r="K247" s="428"/>
      <c r="L247" s="428"/>
      <c r="M247" s="428"/>
      <c r="N247" s="428"/>
      <c r="O247" s="428"/>
      <c r="P247" s="428"/>
      <c r="Q247" s="428"/>
      <c r="R247" s="428"/>
      <c r="T247" s="428"/>
      <c r="X247" s="428"/>
      <c r="Y247" s="428"/>
      <c r="Z247" s="428"/>
    </row>
    <row r="248" spans="2:26" ht="12.75">
      <c r="B248" s="426"/>
      <c r="H248" s="428"/>
      <c r="I248" s="428"/>
      <c r="J248" s="428"/>
      <c r="K248" s="428"/>
      <c r="L248" s="428"/>
      <c r="M248" s="428"/>
      <c r="N248" s="428"/>
      <c r="O248" s="428"/>
      <c r="P248" s="428"/>
      <c r="Q248" s="428"/>
      <c r="R248" s="428"/>
      <c r="T248" s="428"/>
      <c r="X248" s="428"/>
      <c r="Y248" s="428"/>
      <c r="Z248" s="428"/>
    </row>
    <row r="249" spans="2:26" ht="12.75">
      <c r="B249" s="426"/>
      <c r="H249" s="428"/>
      <c r="I249" s="428"/>
      <c r="J249" s="428"/>
      <c r="K249" s="428"/>
      <c r="L249" s="428"/>
      <c r="M249" s="428"/>
      <c r="N249" s="428"/>
      <c r="O249" s="428"/>
      <c r="P249" s="428"/>
      <c r="Q249" s="428"/>
      <c r="R249" s="428"/>
      <c r="T249" s="428"/>
      <c r="X249" s="428"/>
      <c r="Y249" s="428"/>
      <c r="Z249" s="428"/>
    </row>
    <row r="250" spans="2:26" ht="12.75">
      <c r="B250" s="426"/>
      <c r="H250" s="428"/>
      <c r="I250" s="428"/>
      <c r="J250" s="428"/>
      <c r="K250" s="428"/>
      <c r="L250" s="428"/>
      <c r="M250" s="428"/>
      <c r="N250" s="428"/>
      <c r="O250" s="428"/>
      <c r="P250" s="428"/>
      <c r="Q250" s="428"/>
      <c r="R250" s="428"/>
      <c r="T250" s="428"/>
      <c r="X250" s="428"/>
      <c r="Y250" s="428"/>
      <c r="Z250" s="428"/>
    </row>
    <row r="251" spans="2:26" ht="12.75">
      <c r="B251" s="426"/>
      <c r="H251" s="428"/>
      <c r="I251" s="428"/>
      <c r="J251" s="428"/>
      <c r="K251" s="428"/>
      <c r="L251" s="428"/>
      <c r="M251" s="428"/>
      <c r="N251" s="428"/>
      <c r="O251" s="428"/>
      <c r="P251" s="428"/>
      <c r="Q251" s="428"/>
      <c r="R251" s="428"/>
      <c r="T251" s="428"/>
      <c r="X251" s="428"/>
      <c r="Y251" s="428"/>
      <c r="Z251" s="428"/>
    </row>
    <row r="252" spans="2:26" ht="12.75">
      <c r="B252" s="426"/>
      <c r="H252" s="428"/>
      <c r="I252" s="428"/>
      <c r="J252" s="428"/>
      <c r="K252" s="428"/>
      <c r="L252" s="428"/>
      <c r="M252" s="428"/>
      <c r="N252" s="428"/>
      <c r="O252" s="428"/>
      <c r="P252" s="428"/>
      <c r="Q252" s="428"/>
      <c r="R252" s="428"/>
      <c r="T252" s="428"/>
      <c r="X252" s="428"/>
      <c r="Y252" s="428"/>
      <c r="Z252" s="428"/>
    </row>
    <row r="253" spans="2:26" ht="12.75">
      <c r="B253" s="426"/>
      <c r="H253" s="428"/>
      <c r="I253" s="428"/>
      <c r="J253" s="428"/>
      <c r="K253" s="428"/>
      <c r="L253" s="428"/>
      <c r="M253" s="428"/>
      <c r="N253" s="428"/>
      <c r="O253" s="428"/>
      <c r="P253" s="428"/>
      <c r="Q253" s="428"/>
      <c r="R253" s="428"/>
      <c r="T253" s="428"/>
      <c r="X253" s="428"/>
      <c r="Y253" s="428"/>
      <c r="Z253" s="428"/>
    </row>
    <row r="254" spans="2:26" ht="12.75">
      <c r="B254" s="426"/>
      <c r="H254" s="428"/>
      <c r="I254" s="428"/>
      <c r="J254" s="428"/>
      <c r="K254" s="428"/>
      <c r="L254" s="428"/>
      <c r="M254" s="428"/>
      <c r="N254" s="428"/>
      <c r="O254" s="428"/>
      <c r="P254" s="428"/>
      <c r="Q254" s="428"/>
      <c r="R254" s="428"/>
      <c r="T254" s="428"/>
      <c r="X254" s="428"/>
      <c r="Y254" s="428"/>
      <c r="Z254" s="428"/>
    </row>
    <row r="255" spans="2:26" ht="12.75">
      <c r="B255" s="426"/>
      <c r="H255" s="428"/>
      <c r="I255" s="428"/>
      <c r="J255" s="428"/>
      <c r="K255" s="428"/>
      <c r="L255" s="428"/>
      <c r="M255" s="428"/>
      <c r="N255" s="428"/>
      <c r="O255" s="428"/>
      <c r="P255" s="428"/>
      <c r="Q255" s="428"/>
      <c r="R255" s="428"/>
      <c r="T255" s="428"/>
      <c r="X255" s="428"/>
      <c r="Y255" s="428"/>
      <c r="Z255" s="428"/>
    </row>
    <row r="256" spans="2:26" ht="12.75">
      <c r="B256" s="426"/>
      <c r="H256" s="428"/>
      <c r="I256" s="428"/>
      <c r="J256" s="428"/>
      <c r="K256" s="428"/>
      <c r="L256" s="428"/>
      <c r="M256" s="428"/>
      <c r="N256" s="428"/>
      <c r="O256" s="428"/>
      <c r="P256" s="428"/>
      <c r="Q256" s="428"/>
      <c r="R256" s="428"/>
      <c r="T256" s="428"/>
      <c r="X256" s="428"/>
      <c r="Y256" s="428"/>
      <c r="Z256" s="428"/>
    </row>
    <row r="257" spans="2:26" ht="12.75">
      <c r="B257" s="426"/>
      <c r="H257" s="428"/>
      <c r="I257" s="428"/>
      <c r="J257" s="428"/>
      <c r="K257" s="428"/>
      <c r="L257" s="428"/>
      <c r="M257" s="428"/>
      <c r="N257" s="428"/>
      <c r="O257" s="428"/>
      <c r="P257" s="428"/>
      <c r="Q257" s="428"/>
      <c r="R257" s="428"/>
      <c r="T257" s="428"/>
      <c r="X257" s="428"/>
      <c r="Y257" s="428"/>
      <c r="Z257" s="428"/>
    </row>
    <row r="258" spans="2:26" ht="12.75">
      <c r="B258" s="426"/>
      <c r="H258" s="428"/>
      <c r="I258" s="428"/>
      <c r="J258" s="428"/>
      <c r="K258" s="428"/>
      <c r="L258" s="428"/>
      <c r="M258" s="428"/>
      <c r="N258" s="428"/>
      <c r="O258" s="428"/>
      <c r="P258" s="428"/>
      <c r="Q258" s="428"/>
      <c r="R258" s="428"/>
      <c r="T258" s="428"/>
      <c r="X258" s="428"/>
      <c r="Y258" s="428"/>
      <c r="Z258" s="428"/>
    </row>
    <row r="259" spans="2:26" ht="12.75">
      <c r="B259" s="426"/>
      <c r="H259" s="428"/>
      <c r="I259" s="428"/>
      <c r="J259" s="428"/>
      <c r="K259" s="428"/>
      <c r="L259" s="428"/>
      <c r="M259" s="428"/>
      <c r="N259" s="428"/>
      <c r="O259" s="428"/>
      <c r="P259" s="428"/>
      <c r="Q259" s="428"/>
      <c r="R259" s="428"/>
      <c r="T259" s="428"/>
      <c r="X259" s="428"/>
      <c r="Y259" s="428"/>
      <c r="Z259" s="428"/>
    </row>
    <row r="260" spans="2:26" ht="12.75">
      <c r="B260" s="426"/>
      <c r="H260" s="428"/>
      <c r="I260" s="428"/>
      <c r="J260" s="428"/>
      <c r="K260" s="428"/>
      <c r="L260" s="428"/>
      <c r="M260" s="428"/>
      <c r="N260" s="428"/>
      <c r="O260" s="428"/>
      <c r="P260" s="428"/>
      <c r="Q260" s="428"/>
      <c r="R260" s="428"/>
      <c r="T260" s="428"/>
      <c r="X260" s="428"/>
      <c r="Y260" s="428"/>
      <c r="Z260" s="428"/>
    </row>
    <row r="261" spans="2:26" ht="12.75">
      <c r="B261" s="426"/>
      <c r="H261" s="428"/>
      <c r="I261" s="428"/>
      <c r="J261" s="428"/>
      <c r="K261" s="428"/>
      <c r="L261" s="428"/>
      <c r="M261" s="428"/>
      <c r="N261" s="428"/>
      <c r="O261" s="428"/>
      <c r="P261" s="428"/>
      <c r="Q261" s="428"/>
      <c r="R261" s="428"/>
      <c r="T261" s="428"/>
      <c r="X261" s="428"/>
      <c r="Y261" s="428"/>
      <c r="Z261" s="428"/>
    </row>
    <row r="262" spans="2:26" ht="12.75">
      <c r="B262" s="426"/>
      <c r="H262" s="428"/>
      <c r="I262" s="428"/>
      <c r="J262" s="428"/>
      <c r="K262" s="428"/>
      <c r="L262" s="428"/>
      <c r="M262" s="428"/>
      <c r="N262" s="428"/>
      <c r="O262" s="428"/>
      <c r="P262" s="428"/>
      <c r="Q262" s="428"/>
      <c r="R262" s="428"/>
      <c r="T262" s="428"/>
      <c r="X262" s="428"/>
      <c r="Y262" s="428"/>
      <c r="Z262" s="428"/>
    </row>
    <row r="263" spans="2:26" ht="12.75">
      <c r="B263" s="426"/>
      <c r="H263" s="428"/>
      <c r="I263" s="428"/>
      <c r="J263" s="428"/>
      <c r="K263" s="428"/>
      <c r="L263" s="428"/>
      <c r="M263" s="428"/>
      <c r="N263" s="428"/>
      <c r="O263" s="428"/>
      <c r="P263" s="428"/>
      <c r="Q263" s="428"/>
      <c r="R263" s="428"/>
      <c r="T263" s="428"/>
      <c r="X263" s="428"/>
      <c r="Y263" s="428"/>
      <c r="Z263" s="428"/>
    </row>
    <row r="264" spans="2:26" ht="12.75">
      <c r="B264" s="426"/>
      <c r="H264" s="428"/>
      <c r="I264" s="428"/>
      <c r="J264" s="428"/>
      <c r="K264" s="428"/>
      <c r="L264" s="428"/>
      <c r="M264" s="428"/>
      <c r="N264" s="428"/>
      <c r="O264" s="428"/>
      <c r="P264" s="428"/>
      <c r="Q264" s="428"/>
      <c r="R264" s="428"/>
      <c r="T264" s="428"/>
      <c r="X264" s="428"/>
      <c r="Y264" s="428"/>
      <c r="Z264" s="428"/>
    </row>
    <row r="265" spans="2:26" ht="12.75">
      <c r="B265" s="426"/>
      <c r="H265" s="428"/>
      <c r="I265" s="428"/>
      <c r="J265" s="428"/>
      <c r="K265" s="428"/>
      <c r="L265" s="428"/>
      <c r="M265" s="428"/>
      <c r="N265" s="428"/>
      <c r="O265" s="428"/>
      <c r="P265" s="428"/>
      <c r="Q265" s="428"/>
      <c r="R265" s="428"/>
      <c r="T265" s="428"/>
      <c r="X265" s="428"/>
      <c r="Y265" s="428"/>
      <c r="Z265" s="428"/>
    </row>
    <row r="266" spans="2:26" ht="12.75">
      <c r="B266" s="426"/>
      <c r="H266" s="428"/>
      <c r="I266" s="428"/>
      <c r="J266" s="428"/>
      <c r="K266" s="428"/>
      <c r="L266" s="428"/>
      <c r="M266" s="428"/>
      <c r="N266" s="428"/>
      <c r="O266" s="428"/>
      <c r="P266" s="428"/>
      <c r="Q266" s="428"/>
      <c r="R266" s="428"/>
      <c r="T266" s="428"/>
      <c r="X266" s="428"/>
      <c r="Y266" s="428"/>
      <c r="Z266" s="428"/>
    </row>
    <row r="267" spans="2:26" ht="12.75">
      <c r="B267" s="426"/>
      <c r="H267" s="428"/>
      <c r="I267" s="428"/>
      <c r="J267" s="428"/>
      <c r="K267" s="428"/>
      <c r="L267" s="428"/>
      <c r="M267" s="428"/>
      <c r="N267" s="428"/>
      <c r="O267" s="428"/>
      <c r="P267" s="428"/>
      <c r="Q267" s="428"/>
      <c r="R267" s="428"/>
      <c r="T267" s="428"/>
      <c r="X267" s="428"/>
      <c r="Y267" s="428"/>
      <c r="Z267" s="428"/>
    </row>
    <row r="268" spans="2:26" ht="12.75">
      <c r="B268" s="426"/>
      <c r="H268" s="428"/>
      <c r="I268" s="428"/>
      <c r="J268" s="428"/>
      <c r="K268" s="428"/>
      <c r="L268" s="428"/>
      <c r="M268" s="428"/>
      <c r="N268" s="428"/>
      <c r="O268" s="428"/>
      <c r="P268" s="428"/>
      <c r="Q268" s="428"/>
      <c r="R268" s="428"/>
      <c r="T268" s="428"/>
      <c r="X268" s="428"/>
      <c r="Y268" s="428"/>
      <c r="Z268" s="428"/>
    </row>
    <row r="269" spans="2:26" ht="12.75">
      <c r="B269" s="426"/>
      <c r="H269" s="428"/>
      <c r="I269" s="428"/>
      <c r="J269" s="428"/>
      <c r="K269" s="428"/>
      <c r="L269" s="428"/>
      <c r="M269" s="428"/>
      <c r="N269" s="428"/>
      <c r="O269" s="428"/>
      <c r="P269" s="428"/>
      <c r="Q269" s="428"/>
      <c r="R269" s="428"/>
      <c r="T269" s="428"/>
      <c r="X269" s="428"/>
      <c r="Y269" s="428"/>
      <c r="Z269" s="428"/>
    </row>
    <row r="270" spans="2:26" ht="12.75">
      <c r="B270" s="426"/>
      <c r="H270" s="428"/>
      <c r="I270" s="428"/>
      <c r="J270" s="428"/>
      <c r="K270" s="428"/>
      <c r="L270" s="428"/>
      <c r="M270" s="428"/>
      <c r="N270" s="428"/>
      <c r="O270" s="428"/>
      <c r="P270" s="428"/>
      <c r="Q270" s="428"/>
      <c r="R270" s="428"/>
      <c r="T270" s="428"/>
      <c r="X270" s="428"/>
      <c r="Y270" s="428"/>
      <c r="Z270" s="428"/>
    </row>
    <row r="271" spans="2:26" ht="12.75">
      <c r="B271" s="426"/>
      <c r="H271" s="428"/>
      <c r="I271" s="428"/>
      <c r="J271" s="428"/>
      <c r="K271" s="428"/>
      <c r="L271" s="428"/>
      <c r="M271" s="428"/>
      <c r="N271" s="428"/>
      <c r="O271" s="428"/>
      <c r="P271" s="428"/>
      <c r="Q271" s="428"/>
      <c r="R271" s="428"/>
      <c r="T271" s="428"/>
      <c r="X271" s="428"/>
      <c r="Y271" s="428"/>
      <c r="Z271" s="428"/>
    </row>
    <row r="272" spans="2:26" ht="12.75">
      <c r="B272" s="426"/>
      <c r="H272" s="428"/>
      <c r="I272" s="428"/>
      <c r="J272" s="428"/>
      <c r="K272" s="428"/>
      <c r="L272" s="428"/>
      <c r="M272" s="428"/>
      <c r="N272" s="428"/>
      <c r="O272" s="428"/>
      <c r="P272" s="428"/>
      <c r="Q272" s="428"/>
      <c r="R272" s="428"/>
      <c r="T272" s="428"/>
      <c r="X272" s="428"/>
      <c r="Y272" s="428"/>
      <c r="Z272" s="428"/>
    </row>
    <row r="273" spans="2:26" ht="12.75">
      <c r="B273" s="426"/>
      <c r="H273" s="428"/>
      <c r="I273" s="428"/>
      <c r="J273" s="428"/>
      <c r="K273" s="428"/>
      <c r="L273" s="428"/>
      <c r="M273" s="428"/>
      <c r="N273" s="428"/>
      <c r="O273" s="428"/>
      <c r="P273" s="428"/>
      <c r="Q273" s="428"/>
      <c r="R273" s="428"/>
      <c r="T273" s="428"/>
      <c r="X273" s="428"/>
      <c r="Y273" s="428"/>
      <c r="Z273" s="428"/>
    </row>
    <row r="274" spans="2:26" ht="12.75">
      <c r="B274" s="426"/>
      <c r="H274" s="428"/>
      <c r="I274" s="428"/>
      <c r="J274" s="428"/>
      <c r="K274" s="428"/>
      <c r="L274" s="428"/>
      <c r="M274" s="428"/>
      <c r="N274" s="428"/>
      <c r="O274" s="428"/>
      <c r="P274" s="428"/>
      <c r="Q274" s="428"/>
      <c r="R274" s="428"/>
      <c r="T274" s="428"/>
      <c r="X274" s="428"/>
      <c r="Y274" s="428"/>
      <c r="Z274" s="428"/>
    </row>
    <row r="275" spans="2:26" ht="12.75">
      <c r="B275" s="426"/>
      <c r="H275" s="428"/>
      <c r="I275" s="428"/>
      <c r="J275" s="428"/>
      <c r="K275" s="428"/>
      <c r="L275" s="428"/>
      <c r="M275" s="428"/>
      <c r="N275" s="428"/>
      <c r="O275" s="428"/>
      <c r="P275" s="428"/>
      <c r="Q275" s="428"/>
      <c r="R275" s="428"/>
      <c r="T275" s="428"/>
      <c r="X275" s="428"/>
      <c r="Y275" s="428"/>
      <c r="Z275" s="428"/>
    </row>
    <row r="276" spans="2:26" ht="12.75">
      <c r="B276" s="426"/>
      <c r="H276" s="428"/>
      <c r="I276" s="428"/>
      <c r="J276" s="428"/>
      <c r="K276" s="428"/>
      <c r="L276" s="428"/>
      <c r="M276" s="428"/>
      <c r="N276" s="428"/>
      <c r="O276" s="428"/>
      <c r="P276" s="428"/>
      <c r="Q276" s="428"/>
      <c r="R276" s="428"/>
      <c r="T276" s="428"/>
      <c r="X276" s="428"/>
      <c r="Y276" s="428"/>
      <c r="Z276" s="428"/>
    </row>
    <row r="277" spans="2:26" ht="12.75">
      <c r="B277" s="426"/>
      <c r="H277" s="428"/>
      <c r="I277" s="428"/>
      <c r="J277" s="428"/>
      <c r="K277" s="428"/>
      <c r="L277" s="428"/>
      <c r="M277" s="428"/>
      <c r="N277" s="428"/>
      <c r="O277" s="428"/>
      <c r="P277" s="428"/>
      <c r="Q277" s="428"/>
      <c r="R277" s="428"/>
      <c r="T277" s="428"/>
      <c r="X277" s="428"/>
      <c r="Y277" s="428"/>
      <c r="Z277" s="428"/>
    </row>
    <row r="278" spans="2:26" ht="12.75">
      <c r="B278" s="426"/>
      <c r="H278" s="428"/>
      <c r="I278" s="428"/>
      <c r="J278" s="428"/>
      <c r="K278" s="428"/>
      <c r="L278" s="428"/>
      <c r="M278" s="428"/>
      <c r="N278" s="428"/>
      <c r="O278" s="428"/>
      <c r="P278" s="428"/>
      <c r="Q278" s="428"/>
      <c r="R278" s="428"/>
      <c r="T278" s="428"/>
      <c r="X278" s="428"/>
      <c r="Y278" s="428"/>
      <c r="Z278" s="428"/>
    </row>
    <row r="279" spans="2:26" ht="12.75">
      <c r="B279" s="426"/>
      <c r="H279" s="428"/>
      <c r="I279" s="428"/>
      <c r="J279" s="428"/>
      <c r="K279" s="428"/>
      <c r="L279" s="428"/>
      <c r="M279" s="428"/>
      <c r="N279" s="428"/>
      <c r="O279" s="428"/>
      <c r="P279" s="428"/>
      <c r="Q279" s="428"/>
      <c r="R279" s="428"/>
      <c r="T279" s="428"/>
      <c r="X279" s="428"/>
      <c r="Y279" s="428"/>
      <c r="Z279" s="428"/>
    </row>
    <row r="280" spans="2:26" ht="12.75">
      <c r="B280" s="426"/>
      <c r="H280" s="428"/>
      <c r="I280" s="428"/>
      <c r="J280" s="428"/>
      <c r="K280" s="428"/>
      <c r="L280" s="428"/>
      <c r="M280" s="428"/>
      <c r="N280" s="428"/>
      <c r="O280" s="428"/>
      <c r="P280" s="428"/>
      <c r="Q280" s="428"/>
      <c r="R280" s="428"/>
      <c r="T280" s="428"/>
      <c r="X280" s="428"/>
      <c r="Y280" s="428"/>
      <c r="Z280" s="428"/>
    </row>
    <row r="281" spans="2:26" ht="12.75">
      <c r="B281" s="426"/>
      <c r="H281" s="428"/>
      <c r="I281" s="428"/>
      <c r="J281" s="428"/>
      <c r="K281" s="428"/>
      <c r="L281" s="428"/>
      <c r="M281" s="428"/>
      <c r="N281" s="428"/>
      <c r="O281" s="428"/>
      <c r="P281" s="428"/>
      <c r="Q281" s="428"/>
      <c r="R281" s="428"/>
      <c r="T281" s="428"/>
      <c r="X281" s="428"/>
      <c r="Y281" s="428"/>
      <c r="Z281" s="428"/>
    </row>
    <row r="282" spans="2:26" ht="12.75">
      <c r="B282" s="426"/>
      <c r="H282" s="428"/>
      <c r="I282" s="428"/>
      <c r="J282" s="428"/>
      <c r="K282" s="428"/>
      <c r="L282" s="428"/>
      <c r="M282" s="428"/>
      <c r="N282" s="428"/>
      <c r="O282" s="428"/>
      <c r="P282" s="428"/>
      <c r="Q282" s="428"/>
      <c r="R282" s="428"/>
      <c r="T282" s="428"/>
      <c r="X282" s="428"/>
      <c r="Y282" s="428"/>
      <c r="Z282" s="428"/>
    </row>
    <row r="283" spans="2:26" ht="12.75">
      <c r="B283" s="426"/>
      <c r="H283" s="428"/>
      <c r="I283" s="428"/>
      <c r="J283" s="428"/>
      <c r="K283" s="428"/>
      <c r="L283" s="428"/>
      <c r="M283" s="428"/>
      <c r="N283" s="428"/>
      <c r="O283" s="428"/>
      <c r="P283" s="428"/>
      <c r="Q283" s="428"/>
      <c r="R283" s="428"/>
      <c r="T283" s="428"/>
      <c r="X283" s="428"/>
      <c r="Y283" s="428"/>
      <c r="Z283" s="428"/>
    </row>
    <row r="284" spans="2:26" ht="12.75">
      <c r="B284" s="426"/>
      <c r="H284" s="428"/>
      <c r="I284" s="428"/>
      <c r="J284" s="428"/>
      <c r="K284" s="428"/>
      <c r="L284" s="428"/>
      <c r="M284" s="428"/>
      <c r="N284" s="428"/>
      <c r="O284" s="428"/>
      <c r="P284" s="428"/>
      <c r="Q284" s="428"/>
      <c r="R284" s="428"/>
      <c r="T284" s="428"/>
      <c r="X284" s="428"/>
      <c r="Y284" s="428"/>
      <c r="Z284" s="428"/>
    </row>
    <row r="285" spans="2:26" ht="12.75">
      <c r="B285" s="426"/>
      <c r="H285" s="428"/>
      <c r="I285" s="428"/>
      <c r="J285" s="428"/>
      <c r="K285" s="428"/>
      <c r="L285" s="428"/>
      <c r="M285" s="428"/>
      <c r="N285" s="428"/>
      <c r="O285" s="428"/>
      <c r="P285" s="428"/>
      <c r="Q285" s="428"/>
      <c r="R285" s="428"/>
      <c r="T285" s="428"/>
      <c r="X285" s="428"/>
      <c r="Y285" s="428"/>
      <c r="Z285" s="428"/>
    </row>
    <row r="286" spans="2:26" ht="12.75">
      <c r="B286" s="426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T286" s="428"/>
      <c r="X286" s="428"/>
      <c r="Y286" s="428"/>
      <c r="Z286" s="428"/>
    </row>
    <row r="287" spans="2:26" ht="12.75">
      <c r="B287" s="426"/>
      <c r="H287" s="428"/>
      <c r="I287" s="428"/>
      <c r="J287" s="428"/>
      <c r="K287" s="428"/>
      <c r="L287" s="428"/>
      <c r="M287" s="428"/>
      <c r="N287" s="428"/>
      <c r="O287" s="428"/>
      <c r="P287" s="428"/>
      <c r="Q287" s="428"/>
      <c r="R287" s="428"/>
      <c r="T287" s="428"/>
      <c r="X287" s="428"/>
      <c r="Y287" s="428"/>
      <c r="Z287" s="428"/>
    </row>
    <row r="288" spans="2:26" ht="12.75">
      <c r="B288" s="426"/>
      <c r="H288" s="428"/>
      <c r="I288" s="428"/>
      <c r="J288" s="428"/>
      <c r="K288" s="428"/>
      <c r="L288" s="428"/>
      <c r="M288" s="428"/>
      <c r="N288" s="428"/>
      <c r="O288" s="428"/>
      <c r="P288" s="428"/>
      <c r="Q288" s="428"/>
      <c r="R288" s="428"/>
      <c r="T288" s="428"/>
      <c r="X288" s="428"/>
      <c r="Y288" s="428"/>
      <c r="Z288" s="428"/>
    </row>
    <row r="289" spans="2:26" ht="12.75">
      <c r="B289" s="426"/>
      <c r="H289" s="428"/>
      <c r="I289" s="428"/>
      <c r="J289" s="428"/>
      <c r="K289" s="428"/>
      <c r="L289" s="428"/>
      <c r="M289" s="428"/>
      <c r="N289" s="428"/>
      <c r="O289" s="428"/>
      <c r="P289" s="428"/>
      <c r="Q289" s="428"/>
      <c r="R289" s="428"/>
      <c r="T289" s="428"/>
      <c r="X289" s="428"/>
      <c r="Y289" s="428"/>
      <c r="Z289" s="428"/>
    </row>
    <row r="290" spans="2:26" ht="12.75">
      <c r="B290" s="426"/>
      <c r="H290" s="428"/>
      <c r="I290" s="428"/>
      <c r="J290" s="428"/>
      <c r="K290" s="428"/>
      <c r="L290" s="428"/>
      <c r="M290" s="428"/>
      <c r="N290" s="428"/>
      <c r="O290" s="428"/>
      <c r="P290" s="428"/>
      <c r="Q290" s="428"/>
      <c r="R290" s="428"/>
      <c r="T290" s="428"/>
      <c r="X290" s="428"/>
      <c r="Y290" s="428"/>
      <c r="Z290" s="428"/>
    </row>
    <row r="291" spans="2:26" ht="12.75">
      <c r="B291" s="426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R291" s="428"/>
      <c r="T291" s="428"/>
      <c r="X291" s="428"/>
      <c r="Y291" s="428"/>
      <c r="Z291" s="428"/>
    </row>
    <row r="292" spans="2:26" ht="12.75">
      <c r="B292" s="426"/>
      <c r="H292" s="428"/>
      <c r="I292" s="428"/>
      <c r="J292" s="428"/>
      <c r="K292" s="428"/>
      <c r="L292" s="428"/>
      <c r="M292" s="428"/>
      <c r="N292" s="428"/>
      <c r="O292" s="428"/>
      <c r="P292" s="428"/>
      <c r="Q292" s="428"/>
      <c r="R292" s="428"/>
      <c r="T292" s="428"/>
      <c r="X292" s="428"/>
      <c r="Y292" s="428"/>
      <c r="Z292" s="428"/>
    </row>
    <row r="293" spans="2:26" ht="12.75">
      <c r="B293" s="426"/>
      <c r="H293" s="428"/>
      <c r="I293" s="428"/>
      <c r="J293" s="428"/>
      <c r="K293" s="428"/>
      <c r="L293" s="428"/>
      <c r="M293" s="428"/>
      <c r="N293" s="428"/>
      <c r="O293" s="428"/>
      <c r="P293" s="428"/>
      <c r="Q293" s="428"/>
      <c r="R293" s="428"/>
      <c r="T293" s="428"/>
      <c r="X293" s="428"/>
      <c r="Y293" s="428"/>
      <c r="Z293" s="428"/>
    </row>
    <row r="294" spans="2:26" ht="12.75">
      <c r="B294" s="426"/>
      <c r="H294" s="428"/>
      <c r="I294" s="428"/>
      <c r="J294" s="428"/>
      <c r="K294" s="428"/>
      <c r="L294" s="428"/>
      <c r="M294" s="428"/>
      <c r="N294" s="428"/>
      <c r="O294" s="428"/>
      <c r="P294" s="428"/>
      <c r="Q294" s="428"/>
      <c r="R294" s="428"/>
      <c r="T294" s="428"/>
      <c r="X294" s="428"/>
      <c r="Y294" s="428"/>
      <c r="Z294" s="428"/>
    </row>
    <row r="295" spans="2:26" ht="12.75">
      <c r="B295" s="426"/>
      <c r="H295" s="428"/>
      <c r="I295" s="428"/>
      <c r="J295" s="428"/>
      <c r="K295" s="428"/>
      <c r="L295" s="428"/>
      <c r="M295" s="428"/>
      <c r="N295" s="428"/>
      <c r="O295" s="428"/>
      <c r="P295" s="428"/>
      <c r="Q295" s="428"/>
      <c r="R295" s="428"/>
      <c r="T295" s="428"/>
      <c r="X295" s="428"/>
      <c r="Y295" s="428"/>
      <c r="Z295" s="428"/>
    </row>
    <row r="296" spans="2:26" ht="12.75">
      <c r="B296" s="426"/>
      <c r="H296" s="428"/>
      <c r="I296" s="428"/>
      <c r="J296" s="428"/>
      <c r="K296" s="428"/>
      <c r="L296" s="428"/>
      <c r="M296" s="428"/>
      <c r="N296" s="428"/>
      <c r="O296" s="428"/>
      <c r="P296" s="428"/>
      <c r="Q296" s="428"/>
      <c r="R296" s="428"/>
      <c r="T296" s="428"/>
      <c r="X296" s="428"/>
      <c r="Y296" s="428"/>
      <c r="Z296" s="428"/>
    </row>
    <row r="297" spans="2:26" ht="12.75">
      <c r="B297" s="426"/>
      <c r="H297" s="428"/>
      <c r="I297" s="428"/>
      <c r="J297" s="428"/>
      <c r="K297" s="428"/>
      <c r="L297" s="428"/>
      <c r="M297" s="428"/>
      <c r="N297" s="428"/>
      <c r="O297" s="428"/>
      <c r="P297" s="428"/>
      <c r="Q297" s="428"/>
      <c r="R297" s="428"/>
      <c r="T297" s="428"/>
      <c r="X297" s="428"/>
      <c r="Y297" s="428"/>
      <c r="Z297" s="428"/>
    </row>
    <row r="298" spans="2:26" ht="12.75">
      <c r="B298" s="426"/>
      <c r="H298" s="428"/>
      <c r="I298" s="428"/>
      <c r="J298" s="428"/>
      <c r="K298" s="428"/>
      <c r="L298" s="428"/>
      <c r="M298" s="428"/>
      <c r="N298" s="428"/>
      <c r="O298" s="428"/>
      <c r="P298" s="428"/>
      <c r="Q298" s="428"/>
      <c r="R298" s="428"/>
      <c r="T298" s="428"/>
      <c r="X298" s="428"/>
      <c r="Y298" s="428"/>
      <c r="Z298" s="428"/>
    </row>
    <row r="299" spans="2:26" ht="12.75">
      <c r="B299" s="426"/>
      <c r="H299" s="428"/>
      <c r="I299" s="428"/>
      <c r="J299" s="428"/>
      <c r="K299" s="428"/>
      <c r="L299" s="428"/>
      <c r="M299" s="428"/>
      <c r="N299" s="428"/>
      <c r="O299" s="428"/>
      <c r="P299" s="428"/>
      <c r="Q299" s="428"/>
      <c r="R299" s="428"/>
      <c r="T299" s="428"/>
      <c r="X299" s="428"/>
      <c r="Y299" s="428"/>
      <c r="Z299" s="428"/>
    </row>
    <row r="300" spans="2:26" ht="12.75">
      <c r="B300" s="426"/>
      <c r="H300" s="428"/>
      <c r="I300" s="428"/>
      <c r="J300" s="428"/>
      <c r="K300" s="428"/>
      <c r="L300" s="428"/>
      <c r="M300" s="428"/>
      <c r="N300" s="428"/>
      <c r="O300" s="428"/>
      <c r="P300" s="428"/>
      <c r="Q300" s="428"/>
      <c r="R300" s="428"/>
      <c r="T300" s="428"/>
      <c r="X300" s="428"/>
      <c r="Y300" s="428"/>
      <c r="Z300" s="428"/>
    </row>
    <row r="301" spans="2:26" ht="12.75">
      <c r="B301" s="426"/>
      <c r="H301" s="428"/>
      <c r="I301" s="428"/>
      <c r="J301" s="428"/>
      <c r="K301" s="428"/>
      <c r="L301" s="428"/>
      <c r="M301" s="428"/>
      <c r="N301" s="428"/>
      <c r="O301" s="428"/>
      <c r="P301" s="428"/>
      <c r="Q301" s="428"/>
      <c r="R301" s="428"/>
      <c r="T301" s="428"/>
      <c r="X301" s="428"/>
      <c r="Y301" s="428"/>
      <c r="Z301" s="428"/>
    </row>
    <row r="302" spans="2:26" ht="12.75">
      <c r="B302" s="426"/>
      <c r="H302" s="428"/>
      <c r="I302" s="428"/>
      <c r="J302" s="428"/>
      <c r="K302" s="428"/>
      <c r="L302" s="428"/>
      <c r="M302" s="428"/>
      <c r="N302" s="428"/>
      <c r="O302" s="428"/>
      <c r="P302" s="428"/>
      <c r="Q302" s="428"/>
      <c r="R302" s="428"/>
      <c r="T302" s="428"/>
      <c r="X302" s="428"/>
      <c r="Y302" s="428"/>
      <c r="Z302" s="428"/>
    </row>
    <row r="303" spans="2:26" ht="12.75">
      <c r="B303" s="426"/>
      <c r="H303" s="428"/>
      <c r="I303" s="428"/>
      <c r="J303" s="428"/>
      <c r="K303" s="428"/>
      <c r="L303" s="428"/>
      <c r="M303" s="428"/>
      <c r="N303" s="428"/>
      <c r="O303" s="428"/>
      <c r="P303" s="428"/>
      <c r="Q303" s="428"/>
      <c r="R303" s="428"/>
      <c r="T303" s="428"/>
      <c r="X303" s="428"/>
      <c r="Y303" s="428"/>
      <c r="Z303" s="428"/>
    </row>
    <row r="304" spans="2:26" ht="12.75">
      <c r="B304" s="426"/>
      <c r="H304" s="428"/>
      <c r="I304" s="428"/>
      <c r="J304" s="428"/>
      <c r="K304" s="428"/>
      <c r="L304" s="428"/>
      <c r="M304" s="428"/>
      <c r="N304" s="428"/>
      <c r="O304" s="428"/>
      <c r="P304" s="428"/>
      <c r="Q304" s="428"/>
      <c r="R304" s="428"/>
      <c r="T304" s="428"/>
      <c r="X304" s="428"/>
      <c r="Y304" s="428"/>
      <c r="Z304" s="428"/>
    </row>
    <row r="305" spans="2:26" ht="12.75">
      <c r="B305" s="426"/>
      <c r="H305" s="428"/>
      <c r="I305" s="428"/>
      <c r="J305" s="428"/>
      <c r="K305" s="428"/>
      <c r="L305" s="428"/>
      <c r="M305" s="428"/>
      <c r="N305" s="428"/>
      <c r="O305" s="428"/>
      <c r="P305" s="428"/>
      <c r="Q305" s="428"/>
      <c r="R305" s="428"/>
      <c r="T305" s="428"/>
      <c r="X305" s="428"/>
      <c r="Y305" s="428"/>
      <c r="Z305" s="428"/>
    </row>
    <row r="306" spans="2:26" ht="12.75">
      <c r="B306" s="426"/>
      <c r="H306" s="428"/>
      <c r="I306" s="428"/>
      <c r="J306" s="428"/>
      <c r="K306" s="428"/>
      <c r="L306" s="428"/>
      <c r="M306" s="428"/>
      <c r="N306" s="428"/>
      <c r="O306" s="428"/>
      <c r="P306" s="428"/>
      <c r="Q306" s="428"/>
      <c r="R306" s="428"/>
      <c r="T306" s="428"/>
      <c r="X306" s="428"/>
      <c r="Y306" s="428"/>
      <c r="Z306" s="428"/>
    </row>
    <row r="307" spans="2:26" ht="12.75">
      <c r="B307" s="426"/>
      <c r="H307" s="428"/>
      <c r="I307" s="428"/>
      <c r="J307" s="428"/>
      <c r="K307" s="428"/>
      <c r="L307" s="428"/>
      <c r="M307" s="428"/>
      <c r="N307" s="428"/>
      <c r="O307" s="428"/>
      <c r="P307" s="428"/>
      <c r="Q307" s="428"/>
      <c r="R307" s="428"/>
      <c r="T307" s="428"/>
      <c r="X307" s="428"/>
      <c r="Y307" s="428"/>
      <c r="Z307" s="428"/>
    </row>
    <row r="308" spans="2:26" ht="12.75">
      <c r="B308" s="426"/>
      <c r="H308" s="428"/>
      <c r="I308" s="428"/>
      <c r="J308" s="428"/>
      <c r="K308" s="428"/>
      <c r="L308" s="428"/>
      <c r="M308" s="428"/>
      <c r="N308" s="428"/>
      <c r="O308" s="428"/>
      <c r="P308" s="428"/>
      <c r="Q308" s="428"/>
      <c r="R308" s="428"/>
      <c r="T308" s="428"/>
      <c r="X308" s="428"/>
      <c r="Y308" s="428"/>
      <c r="Z308" s="428"/>
    </row>
    <row r="309" spans="2:26" ht="12.75">
      <c r="B309" s="426"/>
      <c r="H309" s="428"/>
      <c r="I309" s="428"/>
      <c r="J309" s="428"/>
      <c r="K309" s="428"/>
      <c r="L309" s="428"/>
      <c r="M309" s="428"/>
      <c r="N309" s="428"/>
      <c r="O309" s="428"/>
      <c r="P309" s="428"/>
      <c r="Q309" s="428"/>
      <c r="R309" s="428"/>
      <c r="T309" s="428"/>
      <c r="X309" s="428"/>
      <c r="Y309" s="428"/>
      <c r="Z309" s="428"/>
    </row>
    <row r="310" spans="2:26" ht="12.75">
      <c r="B310" s="426"/>
      <c r="H310" s="428"/>
      <c r="I310" s="428"/>
      <c r="J310" s="428"/>
      <c r="K310" s="428"/>
      <c r="L310" s="428"/>
      <c r="M310" s="428"/>
      <c r="N310" s="428"/>
      <c r="O310" s="428"/>
      <c r="P310" s="428"/>
      <c r="Q310" s="428"/>
      <c r="R310" s="428"/>
      <c r="T310" s="428"/>
      <c r="X310" s="428"/>
      <c r="Y310" s="428"/>
      <c r="Z310" s="428"/>
    </row>
    <row r="311" spans="2:26" ht="12.75">
      <c r="B311" s="426"/>
      <c r="H311" s="428"/>
      <c r="I311" s="428"/>
      <c r="J311" s="428"/>
      <c r="K311" s="428"/>
      <c r="L311" s="428"/>
      <c r="M311" s="428"/>
      <c r="N311" s="428"/>
      <c r="O311" s="428"/>
      <c r="P311" s="428"/>
      <c r="Q311" s="428"/>
      <c r="R311" s="428"/>
      <c r="T311" s="428"/>
      <c r="X311" s="428"/>
      <c r="Y311" s="428"/>
      <c r="Z311" s="428"/>
    </row>
    <row r="312" spans="2:26" ht="12.75">
      <c r="B312" s="426"/>
      <c r="H312" s="428"/>
      <c r="I312" s="428"/>
      <c r="J312" s="428"/>
      <c r="K312" s="428"/>
      <c r="L312" s="428"/>
      <c r="M312" s="428"/>
      <c r="N312" s="428"/>
      <c r="O312" s="428"/>
      <c r="P312" s="428"/>
      <c r="Q312" s="428"/>
      <c r="R312" s="428"/>
      <c r="T312" s="428"/>
      <c r="X312" s="428"/>
      <c r="Y312" s="428"/>
      <c r="Z312" s="428"/>
    </row>
    <row r="313" spans="2:26" ht="12.75">
      <c r="B313" s="426"/>
      <c r="H313" s="428"/>
      <c r="I313" s="428"/>
      <c r="J313" s="428"/>
      <c r="K313" s="428"/>
      <c r="L313" s="428"/>
      <c r="M313" s="428"/>
      <c r="N313" s="428"/>
      <c r="O313" s="428"/>
      <c r="P313" s="428"/>
      <c r="Q313" s="428"/>
      <c r="R313" s="428"/>
      <c r="T313" s="428"/>
      <c r="X313" s="428"/>
      <c r="Y313" s="428"/>
      <c r="Z313" s="428"/>
    </row>
    <row r="314" spans="2:26" ht="12.75">
      <c r="B314" s="426"/>
      <c r="H314" s="428"/>
      <c r="I314" s="428"/>
      <c r="J314" s="428"/>
      <c r="K314" s="428"/>
      <c r="L314" s="428"/>
      <c r="M314" s="428"/>
      <c r="N314" s="428"/>
      <c r="O314" s="428"/>
      <c r="P314" s="428"/>
      <c r="Q314" s="428"/>
      <c r="R314" s="428"/>
      <c r="T314" s="428"/>
      <c r="X314" s="428"/>
      <c r="Y314" s="428"/>
      <c r="Z314" s="428"/>
    </row>
    <row r="315" spans="2:26" ht="12.75">
      <c r="B315" s="426"/>
      <c r="H315" s="428"/>
      <c r="I315" s="428"/>
      <c r="J315" s="428"/>
      <c r="K315" s="428"/>
      <c r="L315" s="428"/>
      <c r="M315" s="428"/>
      <c r="N315" s="428"/>
      <c r="O315" s="428"/>
      <c r="P315" s="428"/>
      <c r="Q315" s="428"/>
      <c r="R315" s="428"/>
      <c r="T315" s="428"/>
      <c r="X315" s="428"/>
      <c r="Y315" s="428"/>
      <c r="Z315" s="428"/>
    </row>
    <row r="316" spans="2:26" ht="12.75">
      <c r="B316" s="426"/>
      <c r="H316" s="428"/>
      <c r="I316" s="428"/>
      <c r="J316" s="428"/>
      <c r="K316" s="428"/>
      <c r="L316" s="428"/>
      <c r="M316" s="428"/>
      <c r="N316" s="428"/>
      <c r="O316" s="428"/>
      <c r="P316" s="428"/>
      <c r="Q316" s="428"/>
      <c r="R316" s="428"/>
      <c r="T316" s="428"/>
      <c r="X316" s="428"/>
      <c r="Y316" s="428"/>
      <c r="Z316" s="428"/>
    </row>
    <row r="317" spans="2:26" ht="12.75">
      <c r="B317" s="426"/>
      <c r="H317" s="428"/>
      <c r="I317" s="428"/>
      <c r="J317" s="428"/>
      <c r="K317" s="428"/>
      <c r="L317" s="428"/>
      <c r="M317" s="428"/>
      <c r="N317" s="428"/>
      <c r="O317" s="428"/>
      <c r="P317" s="428"/>
      <c r="Q317" s="428"/>
      <c r="R317" s="428"/>
      <c r="T317" s="428"/>
      <c r="X317" s="428"/>
      <c r="Y317" s="428"/>
      <c r="Z317" s="428"/>
    </row>
    <row r="318" spans="2:26" ht="12.75">
      <c r="B318" s="426"/>
      <c r="H318" s="428"/>
      <c r="I318" s="428"/>
      <c r="J318" s="428"/>
      <c r="K318" s="428"/>
      <c r="L318" s="428"/>
      <c r="M318" s="428"/>
      <c r="N318" s="428"/>
      <c r="O318" s="428"/>
      <c r="P318" s="428"/>
      <c r="Q318" s="428"/>
      <c r="R318" s="428"/>
      <c r="T318" s="428"/>
      <c r="X318" s="428"/>
      <c r="Y318" s="428"/>
      <c r="Z318" s="428"/>
    </row>
    <row r="319" spans="2:26" ht="12.75">
      <c r="B319" s="426"/>
      <c r="H319" s="428"/>
      <c r="I319" s="428"/>
      <c r="J319" s="428"/>
      <c r="K319" s="428"/>
      <c r="L319" s="428"/>
      <c r="M319" s="428"/>
      <c r="N319" s="428"/>
      <c r="O319" s="428"/>
      <c r="P319" s="428"/>
      <c r="Q319" s="428"/>
      <c r="R319" s="428"/>
      <c r="T319" s="428"/>
      <c r="X319" s="428"/>
      <c r="Y319" s="428"/>
      <c r="Z319" s="428"/>
    </row>
    <row r="320" spans="2:26" ht="12.75">
      <c r="B320" s="426"/>
      <c r="H320" s="428"/>
      <c r="I320" s="428"/>
      <c r="J320" s="428"/>
      <c r="K320" s="428"/>
      <c r="L320" s="428"/>
      <c r="M320" s="428"/>
      <c r="N320" s="428"/>
      <c r="O320" s="428"/>
      <c r="P320" s="428"/>
      <c r="Q320" s="428"/>
      <c r="R320" s="428"/>
      <c r="T320" s="428"/>
      <c r="X320" s="428"/>
      <c r="Y320" s="428"/>
      <c r="Z320" s="428"/>
    </row>
    <row r="321" spans="2:26" ht="12.75">
      <c r="B321" s="426"/>
      <c r="H321" s="428"/>
      <c r="I321" s="428"/>
      <c r="J321" s="428"/>
      <c r="K321" s="428"/>
      <c r="L321" s="428"/>
      <c r="M321" s="428"/>
      <c r="N321" s="428"/>
      <c r="O321" s="428"/>
      <c r="P321" s="428"/>
      <c r="Q321" s="428"/>
      <c r="R321" s="428"/>
      <c r="T321" s="428"/>
      <c r="X321" s="428"/>
      <c r="Y321" s="428"/>
      <c r="Z321" s="428"/>
    </row>
    <row r="322" spans="2:26" ht="12.75">
      <c r="B322" s="426"/>
      <c r="H322" s="428"/>
      <c r="I322" s="428"/>
      <c r="J322" s="428"/>
      <c r="K322" s="428"/>
      <c r="L322" s="428"/>
      <c r="M322" s="428"/>
      <c r="N322" s="428"/>
      <c r="O322" s="428"/>
      <c r="P322" s="428"/>
      <c r="Q322" s="428"/>
      <c r="R322" s="428"/>
      <c r="T322" s="428"/>
      <c r="X322" s="428"/>
      <c r="Y322" s="428"/>
      <c r="Z322" s="428"/>
    </row>
    <row r="323" spans="2:26" ht="12.75">
      <c r="B323" s="426"/>
      <c r="H323" s="428"/>
      <c r="I323" s="428"/>
      <c r="J323" s="428"/>
      <c r="K323" s="428"/>
      <c r="L323" s="428"/>
      <c r="M323" s="428"/>
      <c r="N323" s="428"/>
      <c r="O323" s="428"/>
      <c r="P323" s="428"/>
      <c r="Q323" s="428"/>
      <c r="R323" s="428"/>
      <c r="T323" s="428"/>
      <c r="X323" s="428"/>
      <c r="Y323" s="428"/>
      <c r="Z323" s="428"/>
    </row>
    <row r="324" spans="2:26" ht="12.75">
      <c r="B324" s="426"/>
      <c r="H324" s="428"/>
      <c r="I324" s="428"/>
      <c r="J324" s="428"/>
      <c r="K324" s="428"/>
      <c r="L324" s="428"/>
      <c r="M324" s="428"/>
      <c r="N324" s="428"/>
      <c r="O324" s="428"/>
      <c r="P324" s="428"/>
      <c r="Q324" s="428"/>
      <c r="R324" s="428"/>
      <c r="T324" s="428"/>
      <c r="X324" s="428"/>
      <c r="Y324" s="428"/>
      <c r="Z324" s="428"/>
    </row>
    <row r="325" spans="2:26" ht="12.75">
      <c r="B325" s="426"/>
      <c r="H325" s="428"/>
      <c r="I325" s="428"/>
      <c r="J325" s="428"/>
      <c r="K325" s="428"/>
      <c r="L325" s="428"/>
      <c r="M325" s="428"/>
      <c r="N325" s="428"/>
      <c r="O325" s="428"/>
      <c r="P325" s="428"/>
      <c r="Q325" s="428"/>
      <c r="R325" s="428"/>
      <c r="T325" s="428"/>
      <c r="X325" s="428"/>
      <c r="Y325" s="428"/>
      <c r="Z325" s="428"/>
    </row>
    <row r="326" spans="2:26" ht="12.75">
      <c r="B326" s="426"/>
      <c r="H326" s="428"/>
      <c r="I326" s="428"/>
      <c r="J326" s="428"/>
      <c r="K326" s="428"/>
      <c r="L326" s="428"/>
      <c r="M326" s="428"/>
      <c r="N326" s="428"/>
      <c r="O326" s="428"/>
      <c r="P326" s="428"/>
      <c r="Q326" s="428"/>
      <c r="R326" s="428"/>
      <c r="T326" s="428"/>
      <c r="X326" s="428"/>
      <c r="Y326" s="428"/>
      <c r="Z326" s="428"/>
    </row>
    <row r="327" spans="2:26" ht="12.75">
      <c r="B327" s="426"/>
      <c r="H327" s="428"/>
      <c r="I327" s="428"/>
      <c r="J327" s="428"/>
      <c r="K327" s="428"/>
      <c r="L327" s="428"/>
      <c r="M327" s="428"/>
      <c r="N327" s="428"/>
      <c r="O327" s="428"/>
      <c r="P327" s="428"/>
      <c r="Q327" s="428"/>
      <c r="R327" s="428"/>
      <c r="T327" s="428"/>
      <c r="X327" s="428"/>
      <c r="Y327" s="428"/>
      <c r="Z327" s="428"/>
    </row>
    <row r="328" spans="2:26" ht="12.75">
      <c r="B328" s="426"/>
      <c r="H328" s="428"/>
      <c r="I328" s="428"/>
      <c r="J328" s="428"/>
      <c r="K328" s="428"/>
      <c r="L328" s="428"/>
      <c r="M328" s="428"/>
      <c r="N328" s="428"/>
      <c r="O328" s="428"/>
      <c r="P328" s="428"/>
      <c r="Q328" s="428"/>
      <c r="R328" s="428"/>
      <c r="T328" s="428"/>
      <c r="X328" s="428"/>
      <c r="Y328" s="428"/>
      <c r="Z328" s="428"/>
    </row>
    <row r="329" spans="2:26" ht="12.75">
      <c r="B329" s="426"/>
      <c r="H329" s="428"/>
      <c r="I329" s="428"/>
      <c r="J329" s="428"/>
      <c r="K329" s="428"/>
      <c r="L329" s="428"/>
      <c r="M329" s="428"/>
      <c r="N329" s="428"/>
      <c r="O329" s="428"/>
      <c r="P329" s="428"/>
      <c r="Q329" s="428"/>
      <c r="R329" s="428"/>
      <c r="T329" s="428"/>
      <c r="X329" s="428"/>
      <c r="Y329" s="428"/>
      <c r="Z329" s="428"/>
    </row>
    <row r="330" spans="2:26" ht="12.75">
      <c r="B330" s="426"/>
      <c r="H330" s="428"/>
      <c r="I330" s="428"/>
      <c r="J330" s="428"/>
      <c r="K330" s="428"/>
      <c r="L330" s="428"/>
      <c r="M330" s="428"/>
      <c r="N330" s="428"/>
      <c r="O330" s="428"/>
      <c r="P330" s="428"/>
      <c r="Q330" s="428"/>
      <c r="R330" s="428"/>
      <c r="T330" s="428"/>
      <c r="X330" s="428"/>
      <c r="Y330" s="428"/>
      <c r="Z330" s="428"/>
    </row>
    <row r="331" spans="2:26" ht="12.75">
      <c r="B331" s="426"/>
      <c r="H331" s="428"/>
      <c r="I331" s="428"/>
      <c r="J331" s="428"/>
      <c r="K331" s="428"/>
      <c r="L331" s="428"/>
      <c r="M331" s="428"/>
      <c r="N331" s="428"/>
      <c r="O331" s="428"/>
      <c r="P331" s="428"/>
      <c r="Q331" s="428"/>
      <c r="R331" s="428"/>
      <c r="T331" s="428"/>
      <c r="X331" s="428"/>
      <c r="Y331" s="428"/>
      <c r="Z331" s="428"/>
    </row>
    <row r="332" spans="2:26" ht="12.75">
      <c r="B332" s="426"/>
      <c r="H332" s="428"/>
      <c r="I332" s="428"/>
      <c r="J332" s="428"/>
      <c r="K332" s="428"/>
      <c r="L332" s="428"/>
      <c r="M332" s="428"/>
      <c r="N332" s="428"/>
      <c r="O332" s="428"/>
      <c r="P332" s="428"/>
      <c r="Q332" s="428"/>
      <c r="R332" s="428"/>
      <c r="T332" s="428"/>
      <c r="X332" s="428"/>
      <c r="Y332" s="428"/>
      <c r="Z332" s="428"/>
    </row>
    <row r="333" spans="2:26" ht="12.75">
      <c r="B333" s="426"/>
      <c r="H333" s="428"/>
      <c r="I333" s="428"/>
      <c r="J333" s="428"/>
      <c r="K333" s="428"/>
      <c r="L333" s="428"/>
      <c r="M333" s="428"/>
      <c r="N333" s="428"/>
      <c r="O333" s="428"/>
      <c r="P333" s="428"/>
      <c r="Q333" s="428"/>
      <c r="R333" s="428"/>
      <c r="T333" s="428"/>
      <c r="X333" s="428"/>
      <c r="Y333" s="428"/>
      <c r="Z333" s="428"/>
    </row>
    <row r="334" spans="2:26" ht="12.75">
      <c r="B334" s="426"/>
      <c r="H334" s="428"/>
      <c r="I334" s="428"/>
      <c r="J334" s="428"/>
      <c r="K334" s="428"/>
      <c r="L334" s="428"/>
      <c r="M334" s="428"/>
      <c r="N334" s="428"/>
      <c r="O334" s="428"/>
      <c r="P334" s="428"/>
      <c r="Q334" s="428"/>
      <c r="R334" s="428"/>
      <c r="T334" s="428"/>
      <c r="X334" s="428"/>
      <c r="Y334" s="428"/>
      <c r="Z334" s="428"/>
    </row>
    <row r="335" spans="2:26" ht="12.75">
      <c r="B335" s="426"/>
      <c r="H335" s="428"/>
      <c r="I335" s="428"/>
      <c r="J335" s="428"/>
      <c r="K335" s="428"/>
      <c r="L335" s="428"/>
      <c r="M335" s="428"/>
      <c r="N335" s="428"/>
      <c r="O335" s="428"/>
      <c r="P335" s="428"/>
      <c r="Q335" s="428"/>
      <c r="R335" s="428"/>
      <c r="T335" s="428"/>
      <c r="X335" s="428"/>
      <c r="Y335" s="428"/>
      <c r="Z335" s="428"/>
    </row>
    <row r="336" spans="2:26" ht="12.75">
      <c r="B336" s="426"/>
      <c r="H336" s="428"/>
      <c r="I336" s="428"/>
      <c r="J336" s="428"/>
      <c r="K336" s="428"/>
      <c r="L336" s="428"/>
      <c r="M336" s="428"/>
      <c r="N336" s="428"/>
      <c r="O336" s="428"/>
      <c r="P336" s="428"/>
      <c r="Q336" s="428"/>
      <c r="R336" s="428"/>
      <c r="T336" s="428"/>
      <c r="X336" s="428"/>
      <c r="Y336" s="428"/>
      <c r="Z336" s="428"/>
    </row>
    <row r="337" spans="2:26" ht="12.75">
      <c r="B337" s="426"/>
      <c r="H337" s="428"/>
      <c r="I337" s="428"/>
      <c r="J337" s="428"/>
      <c r="K337" s="428"/>
      <c r="L337" s="428"/>
      <c r="M337" s="428"/>
      <c r="N337" s="428"/>
      <c r="O337" s="428"/>
      <c r="P337" s="428"/>
      <c r="Q337" s="428"/>
      <c r="R337" s="428"/>
      <c r="T337" s="428"/>
      <c r="X337" s="428"/>
      <c r="Y337" s="428"/>
      <c r="Z337" s="428"/>
    </row>
    <row r="338" spans="2:26" ht="12.75">
      <c r="B338" s="426"/>
      <c r="H338" s="428"/>
      <c r="I338" s="428"/>
      <c r="J338" s="428"/>
      <c r="K338" s="428"/>
      <c r="L338" s="428"/>
      <c r="M338" s="428"/>
      <c r="N338" s="428"/>
      <c r="O338" s="428"/>
      <c r="P338" s="428"/>
      <c r="Q338" s="428"/>
      <c r="R338" s="428"/>
      <c r="T338" s="428"/>
      <c r="X338" s="428"/>
      <c r="Y338" s="428"/>
      <c r="Z338" s="428"/>
    </row>
    <row r="339" spans="2:26" ht="12.75">
      <c r="B339" s="426"/>
      <c r="H339" s="428"/>
      <c r="I339" s="428"/>
      <c r="J339" s="428"/>
      <c r="K339" s="428"/>
      <c r="L339" s="428"/>
      <c r="M339" s="428"/>
      <c r="N339" s="428"/>
      <c r="O339" s="428"/>
      <c r="P339" s="428"/>
      <c r="Q339" s="428"/>
      <c r="R339" s="428"/>
      <c r="T339" s="428"/>
      <c r="X339" s="428"/>
      <c r="Y339" s="428"/>
      <c r="Z339" s="428"/>
    </row>
    <row r="340" spans="2:26" ht="12.75">
      <c r="B340" s="426"/>
      <c r="H340" s="428"/>
      <c r="I340" s="428"/>
      <c r="J340" s="428"/>
      <c r="K340" s="428"/>
      <c r="L340" s="428"/>
      <c r="M340" s="428"/>
      <c r="N340" s="428"/>
      <c r="O340" s="428"/>
      <c r="P340" s="428"/>
      <c r="Q340" s="428"/>
      <c r="R340" s="428"/>
      <c r="T340" s="428"/>
      <c r="X340" s="428"/>
      <c r="Y340" s="428"/>
      <c r="Z340" s="428"/>
    </row>
    <row r="341" spans="2:26" ht="12.75">
      <c r="B341" s="426"/>
      <c r="H341" s="428"/>
      <c r="I341" s="428"/>
      <c r="J341" s="428"/>
      <c r="K341" s="428"/>
      <c r="L341" s="428"/>
      <c r="M341" s="428"/>
      <c r="N341" s="428"/>
      <c r="O341" s="428"/>
      <c r="P341" s="428"/>
      <c r="Q341" s="428"/>
      <c r="R341" s="428"/>
      <c r="T341" s="428"/>
      <c r="X341" s="428"/>
      <c r="Y341" s="428"/>
      <c r="Z341" s="428"/>
    </row>
    <row r="342" spans="2:26" ht="12.75">
      <c r="B342" s="426"/>
      <c r="H342" s="428"/>
      <c r="I342" s="428"/>
      <c r="J342" s="428"/>
      <c r="K342" s="428"/>
      <c r="L342" s="428"/>
      <c r="M342" s="428"/>
      <c r="N342" s="428"/>
      <c r="O342" s="428"/>
      <c r="P342" s="428"/>
      <c r="Q342" s="428"/>
      <c r="R342" s="428"/>
      <c r="T342" s="428"/>
      <c r="X342" s="428"/>
      <c r="Y342" s="428"/>
      <c r="Z342" s="428"/>
    </row>
    <row r="343" spans="2:26" ht="12.75">
      <c r="B343" s="426"/>
      <c r="H343" s="428"/>
      <c r="I343" s="428"/>
      <c r="J343" s="428"/>
      <c r="K343" s="428"/>
      <c r="L343" s="428"/>
      <c r="M343" s="428"/>
      <c r="N343" s="428"/>
      <c r="O343" s="428"/>
      <c r="P343" s="428"/>
      <c r="Q343" s="428"/>
      <c r="R343" s="428"/>
      <c r="T343" s="428"/>
      <c r="X343" s="428"/>
      <c r="Y343" s="428"/>
      <c r="Z343" s="428"/>
    </row>
    <row r="344" spans="2:26" ht="12.75">
      <c r="B344" s="426"/>
      <c r="H344" s="428"/>
      <c r="I344" s="428"/>
      <c r="J344" s="428"/>
      <c r="K344" s="428"/>
      <c r="L344" s="428"/>
      <c r="M344" s="428"/>
      <c r="N344" s="428"/>
      <c r="O344" s="428"/>
      <c r="P344" s="428"/>
      <c r="Q344" s="428"/>
      <c r="R344" s="428"/>
      <c r="T344" s="428"/>
      <c r="X344" s="428"/>
      <c r="Y344" s="428"/>
      <c r="Z344" s="428"/>
    </row>
    <row r="345" spans="2:26" ht="12.75">
      <c r="B345" s="426"/>
      <c r="H345" s="428"/>
      <c r="I345" s="428"/>
      <c r="J345" s="428"/>
      <c r="K345" s="428"/>
      <c r="L345" s="428"/>
      <c r="M345" s="428"/>
      <c r="N345" s="428"/>
      <c r="O345" s="428"/>
      <c r="P345" s="428"/>
      <c r="Q345" s="428"/>
      <c r="R345" s="428"/>
      <c r="T345" s="428"/>
      <c r="X345" s="428"/>
      <c r="Y345" s="428"/>
      <c r="Z345" s="428"/>
    </row>
    <row r="346" spans="2:26" ht="12.75">
      <c r="B346" s="426"/>
      <c r="H346" s="428"/>
      <c r="I346" s="428"/>
      <c r="J346" s="428"/>
      <c r="K346" s="428"/>
      <c r="L346" s="428"/>
      <c r="M346" s="428"/>
      <c r="N346" s="428"/>
      <c r="O346" s="428"/>
      <c r="P346" s="428"/>
      <c r="Q346" s="428"/>
      <c r="R346" s="428"/>
      <c r="T346" s="428"/>
      <c r="X346" s="428"/>
      <c r="Y346" s="428"/>
      <c r="Z346" s="428"/>
    </row>
    <row r="347" spans="2:26" ht="12.75">
      <c r="B347" s="426"/>
      <c r="H347" s="428"/>
      <c r="I347" s="428"/>
      <c r="J347" s="428"/>
      <c r="K347" s="428"/>
      <c r="L347" s="428"/>
      <c r="M347" s="428"/>
      <c r="N347" s="428"/>
      <c r="O347" s="428"/>
      <c r="P347" s="428"/>
      <c r="Q347" s="428"/>
      <c r="R347" s="428"/>
      <c r="T347" s="428"/>
      <c r="X347" s="428"/>
      <c r="Y347" s="428"/>
      <c r="Z347" s="428"/>
    </row>
    <row r="348" spans="2:26" ht="12.75">
      <c r="B348" s="426"/>
      <c r="H348" s="428"/>
      <c r="I348" s="428"/>
      <c r="J348" s="428"/>
      <c r="K348" s="428"/>
      <c r="L348" s="428"/>
      <c r="M348" s="428"/>
      <c r="N348" s="428"/>
      <c r="O348" s="428"/>
      <c r="P348" s="428"/>
      <c r="Q348" s="428"/>
      <c r="R348" s="428"/>
      <c r="T348" s="428"/>
      <c r="X348" s="428"/>
      <c r="Y348" s="428"/>
      <c r="Z348" s="428"/>
    </row>
    <row r="349" spans="2:26" ht="12.75">
      <c r="B349" s="426"/>
      <c r="H349" s="428"/>
      <c r="I349" s="428"/>
      <c r="J349" s="428"/>
      <c r="K349" s="428"/>
      <c r="L349" s="428"/>
      <c r="M349" s="428"/>
      <c r="N349" s="428"/>
      <c r="O349" s="428"/>
      <c r="P349" s="428"/>
      <c r="Q349" s="428"/>
      <c r="R349" s="428"/>
      <c r="T349" s="428"/>
      <c r="X349" s="428"/>
      <c r="Y349" s="428"/>
      <c r="Z349" s="428"/>
    </row>
    <row r="350" spans="2:26" ht="12.75">
      <c r="B350" s="426"/>
      <c r="H350" s="428"/>
      <c r="I350" s="428"/>
      <c r="J350" s="428"/>
      <c r="K350" s="428"/>
      <c r="L350" s="428"/>
      <c r="M350" s="428"/>
      <c r="N350" s="428"/>
      <c r="O350" s="428"/>
      <c r="P350" s="428"/>
      <c r="Q350" s="428"/>
      <c r="R350" s="428"/>
      <c r="T350" s="428"/>
      <c r="X350" s="428"/>
      <c r="Y350" s="428"/>
      <c r="Z350" s="428"/>
    </row>
    <row r="351" spans="2:26" ht="12.75">
      <c r="B351" s="426"/>
      <c r="H351" s="428"/>
      <c r="I351" s="428"/>
      <c r="J351" s="428"/>
      <c r="K351" s="428"/>
      <c r="L351" s="428"/>
      <c r="M351" s="428"/>
      <c r="N351" s="428"/>
      <c r="O351" s="428"/>
      <c r="P351" s="428"/>
      <c r="Q351" s="428"/>
      <c r="R351" s="428"/>
      <c r="T351" s="428"/>
      <c r="X351" s="428"/>
      <c r="Y351" s="428"/>
      <c r="Z351" s="428"/>
    </row>
    <row r="352" spans="2:26" ht="12.75">
      <c r="B352" s="426"/>
      <c r="H352" s="428"/>
      <c r="I352" s="428"/>
      <c r="J352" s="428"/>
      <c r="K352" s="428"/>
      <c r="L352" s="428"/>
      <c r="M352" s="428"/>
      <c r="N352" s="428"/>
      <c r="O352" s="428"/>
      <c r="P352" s="428"/>
      <c r="Q352" s="428"/>
      <c r="R352" s="428"/>
      <c r="T352" s="428"/>
      <c r="X352" s="428"/>
      <c r="Y352" s="428"/>
      <c r="Z352" s="428"/>
    </row>
    <row r="353" spans="2:26" ht="12.75">
      <c r="B353" s="426"/>
      <c r="H353" s="428"/>
      <c r="I353" s="428"/>
      <c r="J353" s="428"/>
      <c r="K353" s="428"/>
      <c r="L353" s="428"/>
      <c r="M353" s="428"/>
      <c r="N353" s="428"/>
      <c r="O353" s="428"/>
      <c r="P353" s="428"/>
      <c r="Q353" s="428"/>
      <c r="R353" s="428"/>
      <c r="T353" s="428"/>
      <c r="X353" s="428"/>
      <c r="Y353" s="428"/>
      <c r="Z353" s="428"/>
    </row>
    <row r="354" spans="2:26" ht="12.75">
      <c r="B354" s="426"/>
      <c r="H354" s="428"/>
      <c r="I354" s="428"/>
      <c r="J354" s="428"/>
      <c r="K354" s="428"/>
      <c r="L354" s="428"/>
      <c r="M354" s="428"/>
      <c r="N354" s="428"/>
      <c r="O354" s="428"/>
      <c r="P354" s="428"/>
      <c r="Q354" s="428"/>
      <c r="R354" s="428"/>
      <c r="T354" s="428"/>
      <c r="X354" s="428"/>
      <c r="Y354" s="428"/>
      <c r="Z354" s="428"/>
    </row>
    <row r="355" spans="2:26" ht="12.75">
      <c r="B355" s="426"/>
      <c r="H355" s="428"/>
      <c r="I355" s="428"/>
      <c r="J355" s="428"/>
      <c r="K355" s="428"/>
      <c r="L355" s="428"/>
      <c r="M355" s="428"/>
      <c r="N355" s="428"/>
      <c r="O355" s="428"/>
      <c r="P355" s="428"/>
      <c r="Q355" s="428"/>
      <c r="R355" s="428"/>
      <c r="T355" s="428"/>
      <c r="X355" s="428"/>
      <c r="Y355" s="428"/>
      <c r="Z355" s="428"/>
    </row>
    <row r="356" spans="2:26" ht="12.75">
      <c r="B356" s="426"/>
      <c r="H356" s="428"/>
      <c r="I356" s="428"/>
      <c r="J356" s="428"/>
      <c r="K356" s="428"/>
      <c r="L356" s="428"/>
      <c r="M356" s="428"/>
      <c r="N356" s="428"/>
      <c r="O356" s="428"/>
      <c r="P356" s="428"/>
      <c r="Q356" s="428"/>
      <c r="R356" s="428"/>
      <c r="T356" s="428"/>
      <c r="X356" s="428"/>
      <c r="Y356" s="428"/>
      <c r="Z356" s="428"/>
    </row>
    <row r="357" spans="2:26" ht="12.75">
      <c r="B357" s="426"/>
      <c r="H357" s="428"/>
      <c r="I357" s="428"/>
      <c r="J357" s="428"/>
      <c r="K357" s="428"/>
      <c r="L357" s="428"/>
      <c r="M357" s="428"/>
      <c r="N357" s="428"/>
      <c r="O357" s="428"/>
      <c r="P357" s="428"/>
      <c r="Q357" s="428"/>
      <c r="R357" s="428"/>
      <c r="T357" s="428"/>
      <c r="X357" s="428"/>
      <c r="Y357" s="428"/>
      <c r="Z357" s="428"/>
    </row>
    <row r="358" spans="2:26" ht="12.75">
      <c r="B358" s="426"/>
      <c r="H358" s="428"/>
      <c r="I358" s="428"/>
      <c r="J358" s="428"/>
      <c r="K358" s="428"/>
      <c r="L358" s="428"/>
      <c r="M358" s="428"/>
      <c r="N358" s="428"/>
      <c r="O358" s="428"/>
      <c r="P358" s="428"/>
      <c r="Q358" s="428"/>
      <c r="R358" s="428"/>
      <c r="T358" s="428"/>
      <c r="X358" s="428"/>
      <c r="Y358" s="428"/>
      <c r="Z358" s="428"/>
    </row>
    <row r="359" spans="2:26" ht="12.75">
      <c r="B359" s="426"/>
      <c r="H359" s="428"/>
      <c r="I359" s="428"/>
      <c r="J359" s="428"/>
      <c r="K359" s="428"/>
      <c r="L359" s="428"/>
      <c r="M359" s="428"/>
      <c r="N359" s="428"/>
      <c r="O359" s="428"/>
      <c r="P359" s="428"/>
      <c r="Q359" s="428"/>
      <c r="R359" s="428"/>
      <c r="T359" s="428"/>
      <c r="X359" s="428"/>
      <c r="Y359" s="428"/>
      <c r="Z359" s="428"/>
    </row>
    <row r="360" spans="2:26" ht="12.75">
      <c r="B360" s="426"/>
      <c r="H360" s="428"/>
      <c r="I360" s="428"/>
      <c r="J360" s="428"/>
      <c r="K360" s="428"/>
      <c r="L360" s="428"/>
      <c r="M360" s="428"/>
      <c r="N360" s="428"/>
      <c r="O360" s="428"/>
      <c r="P360" s="428"/>
      <c r="Q360" s="428"/>
      <c r="R360" s="428"/>
      <c r="T360" s="428"/>
      <c r="X360" s="428"/>
      <c r="Y360" s="428"/>
      <c r="Z360" s="428"/>
    </row>
    <row r="361" spans="2:26" ht="12.75">
      <c r="B361" s="426"/>
      <c r="H361" s="428"/>
      <c r="I361" s="428"/>
      <c r="J361" s="428"/>
      <c r="K361" s="428"/>
      <c r="L361" s="428"/>
      <c r="M361" s="428"/>
      <c r="N361" s="428"/>
      <c r="O361" s="428"/>
      <c r="P361" s="428"/>
      <c r="Q361" s="428"/>
      <c r="R361" s="428"/>
      <c r="T361" s="428"/>
      <c r="X361" s="428"/>
      <c r="Y361" s="428"/>
      <c r="Z361" s="428"/>
    </row>
    <row r="362" spans="2:26" ht="12.75">
      <c r="B362" s="426"/>
      <c r="H362" s="428"/>
      <c r="I362" s="428"/>
      <c r="J362" s="428"/>
      <c r="K362" s="428"/>
      <c r="L362" s="428"/>
      <c r="M362" s="428"/>
      <c r="N362" s="428"/>
      <c r="O362" s="428"/>
      <c r="P362" s="428"/>
      <c r="Q362" s="428"/>
      <c r="R362" s="428"/>
      <c r="T362" s="428"/>
      <c r="X362" s="428"/>
      <c r="Y362" s="428"/>
      <c r="Z362" s="428"/>
    </row>
    <row r="363" spans="2:26" ht="12.75">
      <c r="B363" s="426"/>
      <c r="H363" s="428"/>
      <c r="I363" s="428"/>
      <c r="J363" s="428"/>
      <c r="K363" s="428"/>
      <c r="L363" s="428"/>
      <c r="M363" s="428"/>
      <c r="N363" s="428"/>
      <c r="O363" s="428"/>
      <c r="P363" s="428"/>
      <c r="Q363" s="428"/>
      <c r="R363" s="428"/>
      <c r="T363" s="428"/>
      <c r="X363" s="428"/>
      <c r="Y363" s="428"/>
      <c r="Z363" s="428"/>
    </row>
    <row r="364" spans="2:26" ht="12.75">
      <c r="B364" s="426"/>
      <c r="H364" s="428"/>
      <c r="I364" s="428"/>
      <c r="J364" s="428"/>
      <c r="K364" s="428"/>
      <c r="L364" s="428"/>
      <c r="M364" s="428"/>
      <c r="N364" s="428"/>
      <c r="O364" s="428"/>
      <c r="P364" s="428"/>
      <c r="Q364" s="428"/>
      <c r="R364" s="428"/>
      <c r="T364" s="428"/>
      <c r="X364" s="428"/>
      <c r="Y364" s="428"/>
      <c r="Z364" s="428"/>
    </row>
    <row r="365" spans="2:26" ht="12.75">
      <c r="B365" s="426"/>
      <c r="H365" s="428"/>
      <c r="I365" s="428"/>
      <c r="J365" s="428"/>
      <c r="K365" s="428"/>
      <c r="L365" s="428"/>
      <c r="M365" s="428"/>
      <c r="N365" s="428"/>
      <c r="O365" s="428"/>
      <c r="P365" s="428"/>
      <c r="Q365" s="428"/>
      <c r="R365" s="428"/>
      <c r="T365" s="428"/>
      <c r="X365" s="428"/>
      <c r="Y365" s="428"/>
      <c r="Z365" s="428"/>
    </row>
    <row r="366" spans="2:26" ht="12.75">
      <c r="B366" s="426"/>
      <c r="H366" s="428"/>
      <c r="I366" s="428"/>
      <c r="J366" s="428"/>
      <c r="K366" s="428"/>
      <c r="L366" s="428"/>
      <c r="M366" s="428"/>
      <c r="N366" s="428"/>
      <c r="O366" s="428"/>
      <c r="P366" s="428"/>
      <c r="Q366" s="428"/>
      <c r="R366" s="428"/>
      <c r="T366" s="428"/>
      <c r="X366" s="428"/>
      <c r="Y366" s="428"/>
      <c r="Z366" s="428"/>
    </row>
    <row r="367" spans="2:26" ht="12.75">
      <c r="B367" s="426"/>
      <c r="H367" s="428"/>
      <c r="I367" s="428"/>
      <c r="J367" s="428"/>
      <c r="K367" s="428"/>
      <c r="L367" s="428"/>
      <c r="M367" s="428"/>
      <c r="N367" s="428"/>
      <c r="O367" s="428"/>
      <c r="P367" s="428"/>
      <c r="Q367" s="428"/>
      <c r="R367" s="428"/>
      <c r="T367" s="428"/>
      <c r="X367" s="428"/>
      <c r="Y367" s="428"/>
      <c r="Z367" s="428"/>
    </row>
    <row r="368" spans="2:26" ht="12.75">
      <c r="B368" s="426"/>
      <c r="H368" s="428"/>
      <c r="I368" s="428"/>
      <c r="J368" s="428"/>
      <c r="K368" s="428"/>
      <c r="L368" s="428"/>
      <c r="M368" s="428"/>
      <c r="N368" s="428"/>
      <c r="O368" s="428"/>
      <c r="P368" s="428"/>
      <c r="Q368" s="428"/>
      <c r="R368" s="428"/>
      <c r="T368" s="428"/>
      <c r="X368" s="428"/>
      <c r="Y368" s="428"/>
      <c r="Z368" s="428"/>
    </row>
    <row r="369" spans="2:26" ht="12.75">
      <c r="B369" s="426"/>
      <c r="H369" s="428"/>
      <c r="I369" s="428"/>
      <c r="J369" s="428"/>
      <c r="K369" s="428"/>
      <c r="L369" s="428"/>
      <c r="M369" s="428"/>
      <c r="N369" s="428"/>
      <c r="O369" s="428"/>
      <c r="P369" s="428"/>
      <c r="Q369" s="428"/>
      <c r="R369" s="428"/>
      <c r="T369" s="428"/>
      <c r="X369" s="428"/>
      <c r="Y369" s="428"/>
      <c r="Z369" s="428"/>
    </row>
    <row r="370" spans="2:26" ht="12.75">
      <c r="B370" s="426"/>
      <c r="H370" s="428"/>
      <c r="I370" s="428"/>
      <c r="J370" s="428"/>
      <c r="K370" s="428"/>
      <c r="L370" s="428"/>
      <c r="M370" s="428"/>
      <c r="N370" s="428"/>
      <c r="O370" s="428"/>
      <c r="P370" s="428"/>
      <c r="Q370" s="428"/>
      <c r="R370" s="428"/>
      <c r="T370" s="428"/>
      <c r="X370" s="428"/>
      <c r="Y370" s="428"/>
      <c r="Z370" s="428"/>
    </row>
    <row r="371" spans="2:26" ht="12.75">
      <c r="B371" s="426"/>
      <c r="H371" s="428"/>
      <c r="I371" s="428"/>
      <c r="J371" s="428"/>
      <c r="K371" s="428"/>
      <c r="L371" s="428"/>
      <c r="M371" s="428"/>
      <c r="N371" s="428"/>
      <c r="O371" s="428"/>
      <c r="P371" s="428"/>
      <c r="Q371" s="428"/>
      <c r="R371" s="428"/>
      <c r="T371" s="428"/>
      <c r="X371" s="428"/>
      <c r="Y371" s="428"/>
      <c r="Z371" s="428"/>
    </row>
    <row r="372" spans="2:26" ht="12.75">
      <c r="B372" s="426"/>
      <c r="H372" s="428"/>
      <c r="I372" s="428"/>
      <c r="J372" s="428"/>
      <c r="K372" s="428"/>
      <c r="L372" s="428"/>
      <c r="M372" s="428"/>
      <c r="N372" s="428"/>
      <c r="O372" s="428"/>
      <c r="P372" s="428"/>
      <c r="Q372" s="428"/>
      <c r="R372" s="428"/>
      <c r="T372" s="428"/>
      <c r="X372" s="428"/>
      <c r="Y372" s="428"/>
      <c r="Z372" s="428"/>
    </row>
    <row r="373" spans="2:26" ht="12.75">
      <c r="B373" s="426"/>
      <c r="H373" s="428"/>
      <c r="I373" s="428"/>
      <c r="J373" s="428"/>
      <c r="K373" s="428"/>
      <c r="L373" s="428"/>
      <c r="M373" s="428"/>
      <c r="N373" s="428"/>
      <c r="O373" s="428"/>
      <c r="P373" s="428"/>
      <c r="Q373" s="428"/>
      <c r="R373" s="428"/>
      <c r="T373" s="428"/>
      <c r="X373" s="428"/>
      <c r="Y373" s="428"/>
      <c r="Z373" s="428"/>
    </row>
    <row r="374" spans="2:26" ht="12.75">
      <c r="B374" s="426"/>
      <c r="H374" s="428"/>
      <c r="I374" s="428"/>
      <c r="J374" s="428"/>
      <c r="K374" s="428"/>
      <c r="L374" s="428"/>
      <c r="M374" s="428"/>
      <c r="N374" s="428"/>
      <c r="O374" s="428"/>
      <c r="P374" s="428"/>
      <c r="Q374" s="428"/>
      <c r="R374" s="428"/>
      <c r="T374" s="428"/>
      <c r="X374" s="428"/>
      <c r="Y374" s="428"/>
      <c r="Z374" s="428"/>
    </row>
    <row r="375" spans="2:26" ht="12.75">
      <c r="B375" s="426"/>
      <c r="H375" s="428"/>
      <c r="I375" s="428"/>
      <c r="J375" s="428"/>
      <c r="K375" s="428"/>
      <c r="L375" s="428"/>
      <c r="M375" s="428"/>
      <c r="N375" s="428"/>
      <c r="O375" s="428"/>
      <c r="P375" s="428"/>
      <c r="Q375" s="428"/>
      <c r="R375" s="428"/>
      <c r="T375" s="428"/>
      <c r="X375" s="428"/>
      <c r="Y375" s="428"/>
      <c r="Z375" s="428"/>
    </row>
    <row r="376" spans="2:26" ht="12.75">
      <c r="B376" s="426"/>
      <c r="H376" s="428"/>
      <c r="I376" s="428"/>
      <c r="J376" s="428"/>
      <c r="K376" s="428"/>
      <c r="L376" s="428"/>
      <c r="M376" s="428"/>
      <c r="N376" s="428"/>
      <c r="O376" s="428"/>
      <c r="P376" s="428"/>
      <c r="Q376" s="428"/>
      <c r="R376" s="428"/>
      <c r="T376" s="428"/>
      <c r="X376" s="428"/>
      <c r="Y376" s="428"/>
      <c r="Z376" s="428"/>
    </row>
    <row r="377" spans="2:26" ht="12.75">
      <c r="B377" s="426"/>
      <c r="H377" s="428"/>
      <c r="I377" s="428"/>
      <c r="J377" s="428"/>
      <c r="K377" s="428"/>
      <c r="L377" s="428"/>
      <c r="M377" s="428"/>
      <c r="N377" s="428"/>
      <c r="O377" s="428"/>
      <c r="P377" s="428"/>
      <c r="Q377" s="428"/>
      <c r="R377" s="428"/>
      <c r="T377" s="428"/>
      <c r="X377" s="428"/>
      <c r="Y377" s="428"/>
      <c r="Z377" s="428"/>
    </row>
    <row r="378" spans="2:26" ht="12.75">
      <c r="B378" s="426"/>
      <c r="H378" s="428"/>
      <c r="I378" s="428"/>
      <c r="J378" s="428"/>
      <c r="K378" s="428"/>
      <c r="L378" s="428"/>
      <c r="M378" s="428"/>
      <c r="N378" s="428"/>
      <c r="O378" s="428"/>
      <c r="P378" s="428"/>
      <c r="Q378" s="428"/>
      <c r="R378" s="428"/>
      <c r="T378" s="428"/>
      <c r="X378" s="428"/>
      <c r="Y378" s="428"/>
      <c r="Z378" s="428"/>
    </row>
    <row r="379" spans="2:26" ht="12.75">
      <c r="B379" s="426"/>
      <c r="H379" s="428"/>
      <c r="I379" s="428"/>
      <c r="J379" s="428"/>
      <c r="K379" s="428"/>
      <c r="L379" s="428"/>
      <c r="M379" s="428"/>
      <c r="N379" s="428"/>
      <c r="O379" s="428"/>
      <c r="P379" s="428"/>
      <c r="Q379" s="428"/>
      <c r="R379" s="428"/>
      <c r="T379" s="428"/>
      <c r="X379" s="428"/>
      <c r="Y379" s="428"/>
      <c r="Z379" s="428"/>
    </row>
    <row r="380" spans="2:26" ht="12.75">
      <c r="B380" s="426"/>
      <c r="H380" s="428"/>
      <c r="I380" s="428"/>
      <c r="J380" s="428"/>
      <c r="K380" s="428"/>
      <c r="L380" s="428"/>
      <c r="M380" s="428"/>
      <c r="N380" s="428"/>
      <c r="O380" s="428"/>
      <c r="P380" s="428"/>
      <c r="Q380" s="428"/>
      <c r="R380" s="428"/>
      <c r="T380" s="428"/>
      <c r="X380" s="428"/>
      <c r="Y380" s="428"/>
      <c r="Z380" s="428"/>
    </row>
    <row r="381" spans="2:26" ht="12.75">
      <c r="B381" s="426"/>
      <c r="H381" s="428"/>
      <c r="I381" s="428"/>
      <c r="J381" s="428"/>
      <c r="K381" s="428"/>
      <c r="L381" s="428"/>
      <c r="M381" s="428"/>
      <c r="N381" s="428"/>
      <c r="O381" s="428"/>
      <c r="P381" s="428"/>
      <c r="Q381" s="428"/>
      <c r="R381" s="428"/>
      <c r="T381" s="428"/>
      <c r="X381" s="428"/>
      <c r="Y381" s="428"/>
      <c r="Z381" s="428"/>
    </row>
    <row r="382" spans="2:26" ht="12.75">
      <c r="B382" s="426"/>
      <c r="H382" s="428"/>
      <c r="I382" s="428"/>
      <c r="J382" s="428"/>
      <c r="K382" s="428"/>
      <c r="L382" s="428"/>
      <c r="M382" s="428"/>
      <c r="N382" s="428"/>
      <c r="O382" s="428"/>
      <c r="P382" s="428"/>
      <c r="Q382" s="428"/>
      <c r="R382" s="428"/>
      <c r="T382" s="428"/>
      <c r="X382" s="428"/>
      <c r="Y382" s="428"/>
      <c r="Z382" s="428"/>
    </row>
    <row r="383" spans="2:26" ht="12.75">
      <c r="B383" s="426"/>
      <c r="H383" s="428"/>
      <c r="I383" s="428"/>
      <c r="J383" s="428"/>
      <c r="K383" s="428"/>
      <c r="L383" s="428"/>
      <c r="M383" s="428"/>
      <c r="N383" s="428"/>
      <c r="O383" s="428"/>
      <c r="P383" s="428"/>
      <c r="Q383" s="428"/>
      <c r="R383" s="428"/>
      <c r="T383" s="428"/>
      <c r="X383" s="428"/>
      <c r="Y383" s="428"/>
      <c r="Z383" s="428"/>
    </row>
    <row r="384" spans="2:26" ht="12.75">
      <c r="B384" s="426"/>
      <c r="H384" s="428"/>
      <c r="I384" s="428"/>
      <c r="J384" s="428"/>
      <c r="K384" s="428"/>
      <c r="L384" s="428"/>
      <c r="M384" s="428"/>
      <c r="N384" s="428"/>
      <c r="O384" s="428"/>
      <c r="P384" s="428"/>
      <c r="Q384" s="428"/>
      <c r="R384" s="428"/>
      <c r="T384" s="428"/>
      <c r="X384" s="428"/>
      <c r="Y384" s="428"/>
      <c r="Z384" s="428"/>
    </row>
    <row r="385" spans="2:26" ht="12.75">
      <c r="B385" s="426"/>
      <c r="H385" s="428"/>
      <c r="I385" s="428"/>
      <c r="J385" s="428"/>
      <c r="K385" s="428"/>
      <c r="L385" s="428"/>
      <c r="M385" s="428"/>
      <c r="N385" s="428"/>
      <c r="O385" s="428"/>
      <c r="P385" s="428"/>
      <c r="Q385" s="428"/>
      <c r="R385" s="428"/>
      <c r="T385" s="428"/>
      <c r="X385" s="428"/>
      <c r="Y385" s="428"/>
      <c r="Z385" s="428"/>
    </row>
    <row r="386" spans="2:26" ht="12.75">
      <c r="B386" s="426"/>
      <c r="H386" s="428"/>
      <c r="I386" s="428"/>
      <c r="J386" s="428"/>
      <c r="K386" s="428"/>
      <c r="L386" s="428"/>
      <c r="M386" s="428"/>
      <c r="N386" s="428"/>
      <c r="O386" s="428"/>
      <c r="P386" s="428"/>
      <c r="Q386" s="428"/>
      <c r="R386" s="428"/>
      <c r="T386" s="428"/>
      <c r="X386" s="428"/>
      <c r="Y386" s="428"/>
      <c r="Z386" s="428"/>
    </row>
    <row r="387" spans="2:26" ht="12.75">
      <c r="B387" s="426"/>
      <c r="H387" s="428"/>
      <c r="I387" s="428"/>
      <c r="J387" s="428"/>
      <c r="K387" s="428"/>
      <c r="L387" s="428"/>
      <c r="M387" s="428"/>
      <c r="N387" s="428"/>
      <c r="O387" s="428"/>
      <c r="P387" s="428"/>
      <c r="Q387" s="428"/>
      <c r="R387" s="428"/>
      <c r="T387" s="428"/>
      <c r="X387" s="428"/>
      <c r="Y387" s="428"/>
      <c r="Z387" s="428"/>
    </row>
    <row r="388" spans="2:26" ht="12.75">
      <c r="B388" s="426"/>
      <c r="H388" s="428"/>
      <c r="I388" s="428"/>
      <c r="J388" s="428"/>
      <c r="K388" s="428"/>
      <c r="L388" s="428"/>
      <c r="M388" s="428"/>
      <c r="N388" s="428"/>
      <c r="O388" s="428"/>
      <c r="P388" s="428"/>
      <c r="Q388" s="428"/>
      <c r="R388" s="428"/>
      <c r="T388" s="428"/>
      <c r="X388" s="428"/>
      <c r="Y388" s="428"/>
      <c r="Z388" s="428"/>
    </row>
    <row r="389" spans="2:26" ht="12.75">
      <c r="B389" s="426"/>
      <c r="H389" s="428"/>
      <c r="I389" s="428"/>
      <c r="J389" s="428"/>
      <c r="K389" s="428"/>
      <c r="L389" s="428"/>
      <c r="M389" s="428"/>
      <c r="N389" s="428"/>
      <c r="O389" s="428"/>
      <c r="P389" s="428"/>
      <c r="Q389" s="428"/>
      <c r="R389" s="428"/>
      <c r="T389" s="428"/>
      <c r="X389" s="428"/>
      <c r="Y389" s="428"/>
      <c r="Z389" s="428"/>
    </row>
    <row r="390" spans="2:26" ht="12.75">
      <c r="B390" s="426"/>
      <c r="H390" s="428"/>
      <c r="I390" s="428"/>
      <c r="J390" s="428"/>
      <c r="K390" s="428"/>
      <c r="L390" s="428"/>
      <c r="M390" s="428"/>
      <c r="N390" s="428"/>
      <c r="O390" s="428"/>
      <c r="P390" s="428"/>
      <c r="Q390" s="428"/>
      <c r="R390" s="428"/>
      <c r="T390" s="428"/>
      <c r="X390" s="428"/>
      <c r="Y390" s="428"/>
      <c r="Z390" s="428"/>
    </row>
    <row r="391" spans="2:26" ht="12.75">
      <c r="B391" s="426"/>
      <c r="H391" s="428"/>
      <c r="I391" s="428"/>
      <c r="J391" s="428"/>
      <c r="K391" s="428"/>
      <c r="L391" s="428"/>
      <c r="M391" s="428"/>
      <c r="N391" s="428"/>
      <c r="O391" s="428"/>
      <c r="P391" s="428"/>
      <c r="Q391" s="428"/>
      <c r="R391" s="428"/>
      <c r="T391" s="428"/>
      <c r="X391" s="428"/>
      <c r="Y391" s="428"/>
      <c r="Z391" s="428"/>
    </row>
    <row r="392" spans="2:26" ht="12.75">
      <c r="B392" s="426"/>
      <c r="H392" s="428"/>
      <c r="I392" s="428"/>
      <c r="J392" s="428"/>
      <c r="K392" s="428"/>
      <c r="L392" s="428"/>
      <c r="M392" s="428"/>
      <c r="N392" s="428"/>
      <c r="O392" s="428"/>
      <c r="P392" s="428"/>
      <c r="Q392" s="428"/>
      <c r="R392" s="428"/>
      <c r="T392" s="428"/>
      <c r="X392" s="428"/>
      <c r="Y392" s="428"/>
      <c r="Z392" s="428"/>
    </row>
    <row r="393" spans="2:26" ht="12.75">
      <c r="B393" s="426"/>
      <c r="H393" s="428"/>
      <c r="I393" s="428"/>
      <c r="J393" s="428"/>
      <c r="K393" s="428"/>
      <c r="L393" s="428"/>
      <c r="M393" s="428"/>
      <c r="N393" s="428"/>
      <c r="O393" s="428"/>
      <c r="P393" s="428"/>
      <c r="Q393" s="428"/>
      <c r="R393" s="428"/>
      <c r="T393" s="428"/>
      <c r="X393" s="428"/>
      <c r="Y393" s="428"/>
      <c r="Z393" s="428"/>
    </row>
    <row r="394" spans="2:26" ht="12.75">
      <c r="B394" s="426"/>
      <c r="H394" s="428"/>
      <c r="I394" s="428"/>
      <c r="J394" s="428"/>
      <c r="K394" s="428"/>
      <c r="L394" s="428"/>
      <c r="M394" s="428"/>
      <c r="N394" s="428"/>
      <c r="O394" s="428"/>
      <c r="P394" s="428"/>
      <c r="Q394" s="428"/>
      <c r="R394" s="428"/>
      <c r="T394" s="428"/>
      <c r="X394" s="428"/>
      <c r="Y394" s="428"/>
      <c r="Z394" s="428"/>
    </row>
    <row r="395" spans="2:26" ht="12.75">
      <c r="B395" s="426"/>
      <c r="H395" s="428"/>
      <c r="I395" s="428"/>
      <c r="J395" s="428"/>
      <c r="K395" s="428"/>
      <c r="L395" s="428"/>
      <c r="M395" s="428"/>
      <c r="N395" s="428"/>
      <c r="O395" s="428"/>
      <c r="P395" s="428"/>
      <c r="Q395" s="428"/>
      <c r="R395" s="428"/>
      <c r="T395" s="428"/>
      <c r="X395" s="428"/>
      <c r="Y395" s="428"/>
      <c r="Z395" s="428"/>
    </row>
    <row r="396" spans="2:26" ht="12.75">
      <c r="B396" s="426"/>
      <c r="H396" s="428"/>
      <c r="I396" s="428"/>
      <c r="J396" s="428"/>
      <c r="K396" s="428"/>
      <c r="L396" s="428"/>
      <c r="M396" s="428"/>
      <c r="N396" s="428"/>
      <c r="O396" s="428"/>
      <c r="P396" s="428"/>
      <c r="Q396" s="428"/>
      <c r="R396" s="428"/>
      <c r="T396" s="428"/>
      <c r="X396" s="428"/>
      <c r="Y396" s="428"/>
      <c r="Z396" s="428"/>
    </row>
    <row r="397" spans="2:26" ht="12.75">
      <c r="B397" s="426"/>
      <c r="H397" s="428"/>
      <c r="I397" s="428"/>
      <c r="J397" s="428"/>
      <c r="K397" s="428"/>
      <c r="L397" s="428"/>
      <c r="M397" s="428"/>
      <c r="N397" s="428"/>
      <c r="O397" s="428"/>
      <c r="P397" s="428"/>
      <c r="Q397" s="428"/>
      <c r="R397" s="428"/>
      <c r="T397" s="428"/>
      <c r="X397" s="428"/>
      <c r="Y397" s="428"/>
      <c r="Z397" s="428"/>
    </row>
    <row r="398" spans="2:26" ht="12.75">
      <c r="B398" s="426"/>
      <c r="H398" s="428"/>
      <c r="I398" s="428"/>
      <c r="J398" s="428"/>
      <c r="K398" s="428"/>
      <c r="L398" s="428"/>
      <c r="M398" s="428"/>
      <c r="N398" s="428"/>
      <c r="O398" s="428"/>
      <c r="P398" s="428"/>
      <c r="Q398" s="428"/>
      <c r="R398" s="428"/>
      <c r="T398" s="428"/>
      <c r="X398" s="428"/>
      <c r="Y398" s="428"/>
      <c r="Z398" s="428"/>
    </row>
    <row r="399" spans="2:26" ht="12.75">
      <c r="B399" s="426"/>
      <c r="H399" s="428"/>
      <c r="I399" s="428"/>
      <c r="J399" s="428"/>
      <c r="K399" s="428"/>
      <c r="L399" s="428"/>
      <c r="M399" s="428"/>
      <c r="N399" s="428"/>
      <c r="O399" s="428"/>
      <c r="P399" s="428"/>
      <c r="Q399" s="428"/>
      <c r="R399" s="428"/>
      <c r="T399" s="428"/>
      <c r="X399" s="428"/>
      <c r="Y399" s="428"/>
      <c r="Z399" s="428"/>
    </row>
    <row r="400" spans="2:26" ht="12.75">
      <c r="B400" s="426"/>
      <c r="H400" s="428"/>
      <c r="I400" s="428"/>
      <c r="J400" s="428"/>
      <c r="K400" s="428"/>
      <c r="L400" s="428"/>
      <c r="M400" s="428"/>
      <c r="N400" s="428"/>
      <c r="O400" s="428"/>
      <c r="P400" s="428"/>
      <c r="Q400" s="428"/>
      <c r="R400" s="428"/>
      <c r="T400" s="428"/>
      <c r="X400" s="428"/>
      <c r="Y400" s="428"/>
      <c r="Z400" s="428"/>
    </row>
    <row r="401" spans="2:26" ht="12.75">
      <c r="B401" s="426"/>
      <c r="H401" s="428"/>
      <c r="I401" s="428"/>
      <c r="J401" s="428"/>
      <c r="K401" s="428"/>
      <c r="L401" s="428"/>
      <c r="M401" s="428"/>
      <c r="N401" s="428"/>
      <c r="O401" s="428"/>
      <c r="P401" s="428"/>
      <c r="Q401" s="428"/>
      <c r="R401" s="428"/>
      <c r="T401" s="428"/>
      <c r="X401" s="428"/>
      <c r="Y401" s="428"/>
      <c r="Z401" s="428"/>
    </row>
    <row r="402" spans="2:26" ht="12.75">
      <c r="B402" s="426"/>
      <c r="H402" s="428"/>
      <c r="I402" s="428"/>
      <c r="J402" s="428"/>
      <c r="K402" s="428"/>
      <c r="L402" s="428"/>
      <c r="M402" s="428"/>
      <c r="N402" s="428"/>
      <c r="O402" s="428"/>
      <c r="P402" s="428"/>
      <c r="Q402" s="428"/>
      <c r="R402" s="428"/>
      <c r="T402" s="428"/>
      <c r="X402" s="428"/>
      <c r="Y402" s="428"/>
      <c r="Z402" s="428"/>
    </row>
    <row r="403" spans="2:26" ht="12.75">
      <c r="B403" s="426"/>
      <c r="H403" s="428"/>
      <c r="I403" s="428"/>
      <c r="J403" s="428"/>
      <c r="K403" s="428"/>
      <c r="L403" s="428"/>
      <c r="M403" s="428"/>
      <c r="N403" s="428"/>
      <c r="O403" s="428"/>
      <c r="P403" s="428"/>
      <c r="Q403" s="428"/>
      <c r="R403" s="428"/>
      <c r="T403" s="428"/>
      <c r="X403" s="428"/>
      <c r="Y403" s="428"/>
      <c r="Z403" s="428"/>
    </row>
    <row r="404" spans="2:26" ht="12.75">
      <c r="B404" s="426"/>
      <c r="H404" s="428"/>
      <c r="I404" s="428"/>
      <c r="J404" s="428"/>
      <c r="K404" s="428"/>
      <c r="L404" s="428"/>
      <c r="M404" s="428"/>
      <c r="N404" s="428"/>
      <c r="O404" s="428"/>
      <c r="P404" s="428"/>
      <c r="Q404" s="428"/>
      <c r="R404" s="428"/>
      <c r="T404" s="428"/>
      <c r="X404" s="428"/>
      <c r="Y404" s="428"/>
      <c r="Z404" s="428"/>
    </row>
    <row r="405" spans="2:26" ht="12.75">
      <c r="B405" s="426"/>
      <c r="H405" s="428"/>
      <c r="I405" s="428"/>
      <c r="J405" s="428"/>
      <c r="K405" s="428"/>
      <c r="L405" s="428"/>
      <c r="M405" s="428"/>
      <c r="N405" s="428"/>
      <c r="O405" s="428"/>
      <c r="P405" s="428"/>
      <c r="Q405" s="428"/>
      <c r="R405" s="428"/>
      <c r="T405" s="428"/>
      <c r="X405" s="428"/>
      <c r="Y405" s="428"/>
      <c r="Z405" s="428"/>
    </row>
    <row r="406" spans="2:26" ht="12.75">
      <c r="B406" s="426"/>
      <c r="H406" s="428"/>
      <c r="I406" s="428"/>
      <c r="J406" s="428"/>
      <c r="K406" s="428"/>
      <c r="L406" s="428"/>
      <c r="M406" s="428"/>
      <c r="N406" s="428"/>
      <c r="O406" s="428"/>
      <c r="P406" s="428"/>
      <c r="Q406" s="428"/>
      <c r="R406" s="428"/>
      <c r="T406" s="428"/>
      <c r="X406" s="428"/>
      <c r="Y406" s="428"/>
      <c r="Z406" s="428"/>
    </row>
    <row r="407" spans="2:26" ht="12.75">
      <c r="B407" s="426"/>
      <c r="H407" s="428"/>
      <c r="I407" s="428"/>
      <c r="J407" s="428"/>
      <c r="K407" s="428"/>
      <c r="L407" s="428"/>
      <c r="M407" s="428"/>
      <c r="N407" s="428"/>
      <c r="O407" s="428"/>
      <c r="P407" s="428"/>
      <c r="Q407" s="428"/>
      <c r="R407" s="428"/>
      <c r="T407" s="428"/>
      <c r="X407" s="428"/>
      <c r="Y407" s="428"/>
      <c r="Z407" s="428"/>
    </row>
    <row r="408" spans="2:26" ht="12.75">
      <c r="B408" s="426"/>
      <c r="H408" s="428"/>
      <c r="I408" s="428"/>
      <c r="J408" s="428"/>
      <c r="K408" s="428"/>
      <c r="L408" s="428"/>
      <c r="M408" s="428"/>
      <c r="N408" s="428"/>
      <c r="O408" s="428"/>
      <c r="P408" s="428"/>
      <c r="Q408" s="428"/>
      <c r="R408" s="428"/>
      <c r="T408" s="428"/>
      <c r="X408" s="428"/>
      <c r="Y408" s="428"/>
      <c r="Z408" s="428"/>
    </row>
    <row r="409" spans="2:26" ht="12.75">
      <c r="B409" s="426"/>
      <c r="H409" s="428"/>
      <c r="I409" s="428"/>
      <c r="J409" s="428"/>
      <c r="K409" s="428"/>
      <c r="L409" s="428"/>
      <c r="M409" s="428"/>
      <c r="N409" s="428"/>
      <c r="O409" s="428"/>
      <c r="P409" s="428"/>
      <c r="Q409" s="428"/>
      <c r="R409" s="428"/>
      <c r="T409" s="428"/>
      <c r="X409" s="428"/>
      <c r="Y409" s="428"/>
      <c r="Z409" s="428"/>
    </row>
    <row r="410" spans="2:26" ht="12.75">
      <c r="B410" s="426"/>
      <c r="H410" s="428"/>
      <c r="I410" s="428"/>
      <c r="J410" s="428"/>
      <c r="K410" s="428"/>
      <c r="L410" s="428"/>
      <c r="M410" s="428"/>
      <c r="N410" s="428"/>
      <c r="O410" s="428"/>
      <c r="P410" s="428"/>
      <c r="Q410" s="428"/>
      <c r="R410" s="428"/>
      <c r="T410" s="428"/>
      <c r="X410" s="428"/>
      <c r="Y410" s="428"/>
      <c r="Z410" s="428"/>
    </row>
    <row r="411" spans="2:26" ht="12.75">
      <c r="B411" s="426"/>
      <c r="H411" s="428"/>
      <c r="I411" s="428"/>
      <c r="J411" s="428"/>
      <c r="K411" s="428"/>
      <c r="L411" s="428"/>
      <c r="M411" s="428"/>
      <c r="N411" s="428"/>
      <c r="O411" s="428"/>
      <c r="P411" s="428"/>
      <c r="Q411" s="428"/>
      <c r="R411" s="428"/>
      <c r="T411" s="428"/>
      <c r="X411" s="428"/>
      <c r="Y411" s="428"/>
      <c r="Z411" s="428"/>
    </row>
    <row r="412" spans="2:26" ht="12.75">
      <c r="B412" s="426"/>
      <c r="H412" s="428"/>
      <c r="I412" s="428"/>
      <c r="J412" s="428"/>
      <c r="K412" s="428"/>
      <c r="L412" s="428"/>
      <c r="M412" s="428"/>
      <c r="N412" s="428"/>
      <c r="O412" s="428"/>
      <c r="P412" s="428"/>
      <c r="Q412" s="428"/>
      <c r="R412" s="428"/>
      <c r="T412" s="428"/>
      <c r="X412" s="428"/>
      <c r="Y412" s="428"/>
      <c r="Z412" s="428"/>
    </row>
    <row r="413" spans="2:26" ht="12.75">
      <c r="B413" s="426"/>
      <c r="H413" s="428"/>
      <c r="I413" s="428"/>
      <c r="J413" s="428"/>
      <c r="K413" s="428"/>
      <c r="L413" s="428"/>
      <c r="M413" s="428"/>
      <c r="N413" s="428"/>
      <c r="O413" s="428"/>
      <c r="P413" s="428"/>
      <c r="Q413" s="428"/>
      <c r="R413" s="428"/>
      <c r="T413" s="428"/>
      <c r="X413" s="428"/>
      <c r="Y413" s="428"/>
      <c r="Z413" s="428"/>
    </row>
    <row r="414" spans="2:26" ht="12.75">
      <c r="B414" s="426"/>
      <c r="H414" s="428"/>
      <c r="I414" s="428"/>
      <c r="J414" s="428"/>
      <c r="K414" s="428"/>
      <c r="L414" s="428"/>
      <c r="M414" s="428"/>
      <c r="N414" s="428"/>
      <c r="O414" s="428"/>
      <c r="P414" s="428"/>
      <c r="Q414" s="428"/>
      <c r="R414" s="428"/>
      <c r="T414" s="428"/>
      <c r="X414" s="428"/>
      <c r="Y414" s="428"/>
      <c r="Z414" s="428"/>
    </row>
    <row r="415" spans="2:26" ht="12.75">
      <c r="B415" s="426"/>
      <c r="H415" s="428"/>
      <c r="I415" s="428"/>
      <c r="J415" s="428"/>
      <c r="K415" s="428"/>
      <c r="L415" s="428"/>
      <c r="M415" s="428"/>
      <c r="N415" s="428"/>
      <c r="O415" s="428"/>
      <c r="P415" s="428"/>
      <c r="Q415" s="428"/>
      <c r="R415" s="428"/>
      <c r="T415" s="428"/>
      <c r="X415" s="428"/>
      <c r="Y415" s="428"/>
      <c r="Z415" s="428"/>
    </row>
    <row r="416" spans="2:26" ht="12.75">
      <c r="B416" s="426"/>
      <c r="H416" s="428"/>
      <c r="I416" s="428"/>
      <c r="J416" s="428"/>
      <c r="K416" s="428"/>
      <c r="L416" s="428"/>
      <c r="M416" s="428"/>
      <c r="N416" s="428"/>
      <c r="O416" s="428"/>
      <c r="P416" s="428"/>
      <c r="Q416" s="428"/>
      <c r="R416" s="428"/>
      <c r="T416" s="428"/>
      <c r="X416" s="428"/>
      <c r="Y416" s="428"/>
      <c r="Z416" s="428"/>
    </row>
    <row r="417" spans="2:26" ht="12.75">
      <c r="B417" s="426"/>
      <c r="H417" s="428"/>
      <c r="I417" s="428"/>
      <c r="J417" s="428"/>
      <c r="K417" s="428"/>
      <c r="L417" s="428"/>
      <c r="M417" s="428"/>
      <c r="N417" s="428"/>
      <c r="O417" s="428"/>
      <c r="P417" s="428"/>
      <c r="Q417" s="428"/>
      <c r="R417" s="428"/>
      <c r="T417" s="428"/>
      <c r="X417" s="428"/>
      <c r="Y417" s="428"/>
      <c r="Z417" s="428"/>
    </row>
    <row r="418" spans="2:26" ht="12.75">
      <c r="B418" s="426"/>
      <c r="H418" s="428"/>
      <c r="I418" s="428"/>
      <c r="J418" s="428"/>
      <c r="K418" s="428"/>
      <c r="L418" s="428"/>
      <c r="M418" s="428"/>
      <c r="N418" s="428"/>
      <c r="O418" s="428"/>
      <c r="P418" s="428"/>
      <c r="Q418" s="428"/>
      <c r="R418" s="428"/>
      <c r="T418" s="428"/>
      <c r="X418" s="428"/>
      <c r="Y418" s="428"/>
      <c r="Z418" s="428"/>
    </row>
    <row r="419" spans="2:26" ht="12.75">
      <c r="B419" s="426"/>
      <c r="H419" s="428"/>
      <c r="I419" s="428"/>
      <c r="J419" s="428"/>
      <c r="K419" s="428"/>
      <c r="L419" s="428"/>
      <c r="M419" s="428"/>
      <c r="N419" s="428"/>
      <c r="O419" s="428"/>
      <c r="P419" s="428"/>
      <c r="Q419" s="428"/>
      <c r="R419" s="428"/>
      <c r="T419" s="428"/>
      <c r="X419" s="428"/>
      <c r="Y419" s="428"/>
      <c r="Z419" s="428"/>
    </row>
    <row r="420" spans="2:26" ht="12.75">
      <c r="B420" s="426"/>
      <c r="H420" s="428"/>
      <c r="I420" s="428"/>
      <c r="J420" s="428"/>
      <c r="K420" s="428"/>
      <c r="L420" s="428"/>
      <c r="M420" s="428"/>
      <c r="N420" s="428"/>
      <c r="O420" s="428"/>
      <c r="P420" s="428"/>
      <c r="Q420" s="428"/>
      <c r="R420" s="428"/>
      <c r="T420" s="428"/>
      <c r="X420" s="428"/>
      <c r="Y420" s="428"/>
      <c r="Z420" s="428"/>
    </row>
    <row r="421" spans="2:26" ht="12.75">
      <c r="B421" s="426"/>
      <c r="H421" s="428"/>
      <c r="I421" s="428"/>
      <c r="J421" s="428"/>
      <c r="K421" s="428"/>
      <c r="L421" s="428"/>
      <c r="M421" s="428"/>
      <c r="N421" s="428"/>
      <c r="O421" s="428"/>
      <c r="P421" s="428"/>
      <c r="Q421" s="428"/>
      <c r="R421" s="428"/>
      <c r="T421" s="428"/>
      <c r="X421" s="428"/>
      <c r="Y421" s="428"/>
      <c r="Z421" s="428"/>
    </row>
    <row r="422" spans="2:26" ht="12.75">
      <c r="B422" s="426"/>
      <c r="H422" s="428"/>
      <c r="I422" s="428"/>
      <c r="J422" s="428"/>
      <c r="K422" s="428"/>
      <c r="L422" s="428"/>
      <c r="M422" s="428"/>
      <c r="N422" s="428"/>
      <c r="O422" s="428"/>
      <c r="P422" s="428"/>
      <c r="Q422" s="428"/>
      <c r="R422" s="428"/>
      <c r="T422" s="428"/>
      <c r="X422" s="428"/>
      <c r="Y422" s="428"/>
      <c r="Z422" s="428"/>
    </row>
    <row r="423" spans="2:26" ht="12.75">
      <c r="B423" s="426"/>
      <c r="H423" s="428"/>
      <c r="I423" s="428"/>
      <c r="J423" s="428"/>
      <c r="K423" s="428"/>
      <c r="L423" s="428"/>
      <c r="M423" s="428"/>
      <c r="N423" s="428"/>
      <c r="O423" s="428"/>
      <c r="P423" s="428"/>
      <c r="Q423" s="428"/>
      <c r="R423" s="428"/>
      <c r="T423" s="428"/>
      <c r="X423" s="428"/>
      <c r="Y423" s="428"/>
      <c r="Z423" s="428"/>
    </row>
    <row r="424" spans="2:26" ht="12.75">
      <c r="B424" s="426"/>
      <c r="H424" s="428"/>
      <c r="I424" s="428"/>
      <c r="J424" s="428"/>
      <c r="K424" s="428"/>
      <c r="L424" s="428"/>
      <c r="M424" s="428"/>
      <c r="N424" s="428"/>
      <c r="O424" s="428"/>
      <c r="P424" s="428"/>
      <c r="Q424" s="428"/>
      <c r="R424" s="428"/>
      <c r="T424" s="428"/>
      <c r="X424" s="428"/>
      <c r="Y424" s="428"/>
      <c r="Z424" s="428"/>
    </row>
    <row r="425" spans="2:26" ht="12.75">
      <c r="B425" s="426"/>
      <c r="H425" s="428"/>
      <c r="I425" s="428"/>
      <c r="J425" s="428"/>
      <c r="K425" s="428"/>
      <c r="L425" s="428"/>
      <c r="M425" s="428"/>
      <c r="N425" s="428"/>
      <c r="O425" s="428"/>
      <c r="P425" s="428"/>
      <c r="Q425" s="428"/>
      <c r="R425" s="428"/>
      <c r="T425" s="428"/>
      <c r="X425" s="428"/>
      <c r="Y425" s="428"/>
      <c r="Z425" s="428"/>
    </row>
    <row r="426" spans="2:26" ht="12.75">
      <c r="B426" s="426"/>
      <c r="H426" s="428"/>
      <c r="I426" s="428"/>
      <c r="J426" s="428"/>
      <c r="K426" s="428"/>
      <c r="L426" s="428"/>
      <c r="M426" s="428"/>
      <c r="N426" s="428"/>
      <c r="O426" s="428"/>
      <c r="P426" s="428"/>
      <c r="Q426" s="428"/>
      <c r="R426" s="428"/>
      <c r="T426" s="428"/>
      <c r="X426" s="428"/>
      <c r="Y426" s="428"/>
      <c r="Z426" s="428"/>
    </row>
    <row r="427" spans="2:26" ht="12.75">
      <c r="B427" s="426"/>
      <c r="H427" s="428"/>
      <c r="I427" s="428"/>
      <c r="J427" s="428"/>
      <c r="K427" s="428"/>
      <c r="L427" s="428"/>
      <c r="M427" s="428"/>
      <c r="N427" s="428"/>
      <c r="O427" s="428"/>
      <c r="P427" s="428"/>
      <c r="Q427" s="428"/>
      <c r="R427" s="428"/>
      <c r="T427" s="428"/>
      <c r="X427" s="428"/>
      <c r="Y427" s="428"/>
      <c r="Z427" s="428"/>
    </row>
    <row r="428" spans="2:26" ht="12.75">
      <c r="B428" s="426"/>
      <c r="H428" s="428"/>
      <c r="I428" s="428"/>
      <c r="J428" s="428"/>
      <c r="K428" s="428"/>
      <c r="L428" s="428"/>
      <c r="M428" s="428"/>
      <c r="N428" s="428"/>
      <c r="O428" s="428"/>
      <c r="P428" s="428"/>
      <c r="Q428" s="428"/>
      <c r="R428" s="428"/>
      <c r="T428" s="428"/>
      <c r="X428" s="428"/>
      <c r="Y428" s="428"/>
      <c r="Z428" s="428"/>
    </row>
    <row r="429" spans="2:26" ht="12.75">
      <c r="B429" s="426"/>
      <c r="H429" s="428"/>
      <c r="I429" s="428"/>
      <c r="J429" s="428"/>
      <c r="K429" s="428"/>
      <c r="L429" s="428"/>
      <c r="M429" s="428"/>
      <c r="N429" s="428"/>
      <c r="O429" s="428"/>
      <c r="P429" s="428"/>
      <c r="Q429" s="428"/>
      <c r="R429" s="428"/>
      <c r="T429" s="428"/>
      <c r="X429" s="428"/>
      <c r="Y429" s="428"/>
      <c r="Z429" s="428"/>
    </row>
    <row r="430" spans="2:26" ht="12.75">
      <c r="B430" s="426"/>
      <c r="H430" s="428"/>
      <c r="I430" s="428"/>
      <c r="J430" s="428"/>
      <c r="K430" s="428"/>
      <c r="L430" s="428"/>
      <c r="M430" s="428"/>
      <c r="N430" s="428"/>
      <c r="O430" s="428"/>
      <c r="P430" s="428"/>
      <c r="Q430" s="428"/>
      <c r="R430" s="428"/>
      <c r="T430" s="428"/>
      <c r="X430" s="428"/>
      <c r="Y430" s="428"/>
      <c r="Z430" s="428"/>
    </row>
    <row r="431" spans="2:26" ht="12.75">
      <c r="B431" s="426"/>
      <c r="H431" s="428"/>
      <c r="I431" s="428"/>
      <c r="J431" s="428"/>
      <c r="K431" s="428"/>
      <c r="L431" s="428"/>
      <c r="M431" s="428"/>
      <c r="N431" s="428"/>
      <c r="O431" s="428"/>
      <c r="P431" s="428"/>
      <c r="Q431" s="428"/>
      <c r="R431" s="428"/>
      <c r="T431" s="428"/>
      <c r="X431" s="428"/>
      <c r="Y431" s="428"/>
      <c r="Z431" s="428"/>
    </row>
    <row r="432" spans="2:26" ht="12.75">
      <c r="B432" s="426"/>
      <c r="H432" s="428"/>
      <c r="I432" s="428"/>
      <c r="J432" s="428"/>
      <c r="K432" s="428"/>
      <c r="L432" s="428"/>
      <c r="M432" s="428"/>
      <c r="N432" s="428"/>
      <c r="O432" s="428"/>
      <c r="P432" s="428"/>
      <c r="Q432" s="428"/>
      <c r="R432" s="428"/>
      <c r="T432" s="428"/>
      <c r="X432" s="428"/>
      <c r="Y432" s="428"/>
      <c r="Z432" s="428"/>
    </row>
    <row r="433" spans="2:26" ht="12.75">
      <c r="B433" s="426"/>
      <c r="H433" s="428"/>
      <c r="I433" s="428"/>
      <c r="J433" s="428"/>
      <c r="K433" s="428"/>
      <c r="L433" s="428"/>
      <c r="M433" s="428"/>
      <c r="N433" s="428"/>
      <c r="O433" s="428"/>
      <c r="P433" s="428"/>
      <c r="Q433" s="428"/>
      <c r="R433" s="428"/>
      <c r="T433" s="428"/>
      <c r="X433" s="428"/>
      <c r="Y433" s="428"/>
      <c r="Z433" s="428"/>
    </row>
    <row r="434" spans="2:26" ht="12.75">
      <c r="B434" s="426"/>
      <c r="H434" s="428"/>
      <c r="I434" s="428"/>
      <c r="J434" s="428"/>
      <c r="K434" s="428"/>
      <c r="L434" s="428"/>
      <c r="M434" s="428"/>
      <c r="N434" s="428"/>
      <c r="O434" s="428"/>
      <c r="P434" s="428"/>
      <c r="Q434" s="428"/>
      <c r="R434" s="428"/>
      <c r="T434" s="428"/>
      <c r="X434" s="428"/>
      <c r="Y434" s="428"/>
      <c r="Z434" s="428"/>
    </row>
    <row r="435" spans="2:26" ht="12.75">
      <c r="B435" s="426"/>
      <c r="H435" s="428"/>
      <c r="I435" s="428"/>
      <c r="J435" s="428"/>
      <c r="K435" s="428"/>
      <c r="L435" s="428"/>
      <c r="M435" s="428"/>
      <c r="N435" s="428"/>
      <c r="O435" s="428"/>
      <c r="P435" s="428"/>
      <c r="Q435" s="428"/>
      <c r="R435" s="428"/>
      <c r="T435" s="428"/>
      <c r="X435" s="428"/>
      <c r="Y435" s="428"/>
      <c r="Z435" s="428"/>
    </row>
    <row r="436" spans="2:26" ht="12.75">
      <c r="B436" s="426"/>
      <c r="H436" s="428"/>
      <c r="I436" s="428"/>
      <c r="J436" s="428"/>
      <c r="K436" s="428"/>
      <c r="L436" s="428"/>
      <c r="M436" s="428"/>
      <c r="N436" s="428"/>
      <c r="O436" s="428"/>
      <c r="P436" s="428"/>
      <c r="Q436" s="428"/>
      <c r="R436" s="428"/>
      <c r="T436" s="428"/>
      <c r="X436" s="428"/>
      <c r="Y436" s="428"/>
      <c r="Z436" s="428"/>
    </row>
    <row r="437" spans="2:26" ht="12.75">
      <c r="B437" s="426"/>
      <c r="H437" s="428"/>
      <c r="I437" s="428"/>
      <c r="J437" s="428"/>
      <c r="K437" s="428"/>
      <c r="L437" s="428"/>
      <c r="M437" s="428"/>
      <c r="N437" s="428"/>
      <c r="O437" s="428"/>
      <c r="P437" s="428"/>
      <c r="Q437" s="428"/>
      <c r="R437" s="428"/>
      <c r="T437" s="428"/>
      <c r="X437" s="428"/>
      <c r="Y437" s="428"/>
      <c r="Z437" s="428"/>
    </row>
    <row r="438" spans="2:26" ht="12.75">
      <c r="B438" s="426"/>
      <c r="H438" s="428"/>
      <c r="I438" s="428"/>
      <c r="J438" s="428"/>
      <c r="K438" s="428"/>
      <c r="L438" s="428"/>
      <c r="M438" s="428"/>
      <c r="N438" s="428"/>
      <c r="O438" s="428"/>
      <c r="P438" s="428"/>
      <c r="Q438" s="428"/>
      <c r="R438" s="428"/>
      <c r="T438" s="428"/>
      <c r="X438" s="428"/>
      <c r="Y438" s="428"/>
      <c r="Z438" s="428"/>
    </row>
    <row r="439" spans="2:26" ht="12.75">
      <c r="B439" s="426"/>
      <c r="H439" s="428"/>
      <c r="I439" s="428"/>
      <c r="J439" s="428"/>
      <c r="K439" s="428"/>
      <c r="L439" s="428"/>
      <c r="M439" s="428"/>
      <c r="N439" s="428"/>
      <c r="O439" s="428"/>
      <c r="P439" s="428"/>
      <c r="Q439" s="428"/>
      <c r="R439" s="428"/>
      <c r="T439" s="428"/>
      <c r="X439" s="428"/>
      <c r="Y439" s="428"/>
      <c r="Z439" s="428"/>
    </row>
    <row r="440" spans="2:26" ht="12.75">
      <c r="B440" s="426"/>
      <c r="H440" s="428"/>
      <c r="I440" s="428"/>
      <c r="J440" s="428"/>
      <c r="K440" s="428"/>
      <c r="L440" s="428"/>
      <c r="M440" s="428"/>
      <c r="N440" s="428"/>
      <c r="O440" s="428"/>
      <c r="P440" s="428"/>
      <c r="Q440" s="428"/>
      <c r="R440" s="428"/>
      <c r="T440" s="428"/>
      <c r="X440" s="428"/>
      <c r="Y440" s="428"/>
      <c r="Z440" s="428"/>
    </row>
    <row r="441" spans="2:26" ht="12.75">
      <c r="B441" s="426"/>
      <c r="H441" s="428"/>
      <c r="I441" s="428"/>
      <c r="J441" s="428"/>
      <c r="K441" s="428"/>
      <c r="L441" s="428"/>
      <c r="M441" s="428"/>
      <c r="N441" s="428"/>
      <c r="O441" s="428"/>
      <c r="P441" s="428"/>
      <c r="Q441" s="428"/>
      <c r="R441" s="428"/>
      <c r="T441" s="428"/>
      <c r="X441" s="428"/>
      <c r="Y441" s="428"/>
      <c r="Z441" s="428"/>
    </row>
    <row r="442" spans="2:26" ht="12.75">
      <c r="B442" s="426"/>
      <c r="H442" s="428"/>
      <c r="I442" s="428"/>
      <c r="J442" s="428"/>
      <c r="K442" s="428"/>
      <c r="L442" s="428"/>
      <c r="M442" s="428"/>
      <c r="N442" s="428"/>
      <c r="O442" s="428"/>
      <c r="P442" s="428"/>
      <c r="Q442" s="428"/>
      <c r="R442" s="428"/>
      <c r="T442" s="428"/>
      <c r="X442" s="428"/>
      <c r="Y442" s="428"/>
      <c r="Z442" s="428"/>
    </row>
    <row r="443" spans="2:26" ht="12.75">
      <c r="B443" s="426"/>
      <c r="H443" s="428"/>
      <c r="I443" s="428"/>
      <c r="J443" s="428"/>
      <c r="K443" s="428"/>
      <c r="L443" s="428"/>
      <c r="M443" s="428"/>
      <c r="N443" s="428"/>
      <c r="O443" s="428"/>
      <c r="P443" s="428"/>
      <c r="Q443" s="428"/>
      <c r="R443" s="428"/>
      <c r="T443" s="428"/>
      <c r="X443" s="428"/>
      <c r="Y443" s="428"/>
      <c r="Z443" s="428"/>
    </row>
    <row r="444" spans="2:26" ht="12.75">
      <c r="B444" s="426"/>
      <c r="H444" s="428"/>
      <c r="I444" s="428"/>
      <c r="J444" s="428"/>
      <c r="K444" s="428"/>
      <c r="L444" s="428"/>
      <c r="M444" s="428"/>
      <c r="N444" s="428"/>
      <c r="O444" s="428"/>
      <c r="P444" s="428"/>
      <c r="Q444" s="428"/>
      <c r="R444" s="428"/>
      <c r="T444" s="428"/>
      <c r="X444" s="428"/>
      <c r="Y444" s="428"/>
      <c r="Z444" s="428"/>
    </row>
    <row r="445" spans="2:26" ht="12.75">
      <c r="B445" s="426"/>
      <c r="H445" s="428"/>
      <c r="I445" s="428"/>
      <c r="J445" s="428"/>
      <c r="K445" s="428"/>
      <c r="L445" s="428"/>
      <c r="M445" s="428"/>
      <c r="N445" s="428"/>
      <c r="O445" s="428"/>
      <c r="P445" s="428"/>
      <c r="Q445" s="428"/>
      <c r="R445" s="428"/>
      <c r="T445" s="428"/>
      <c r="X445" s="428"/>
      <c r="Y445" s="428"/>
      <c r="Z445" s="428"/>
    </row>
    <row r="446" spans="2:26" ht="12.75">
      <c r="B446" s="426"/>
      <c r="H446" s="428"/>
      <c r="I446" s="428"/>
      <c r="J446" s="428"/>
      <c r="K446" s="428"/>
      <c r="L446" s="428"/>
      <c r="M446" s="428"/>
      <c r="N446" s="428"/>
      <c r="O446" s="428"/>
      <c r="P446" s="428"/>
      <c r="Q446" s="428"/>
      <c r="R446" s="428"/>
      <c r="T446" s="428"/>
      <c r="X446" s="428"/>
      <c r="Y446" s="428"/>
      <c r="Z446" s="428"/>
    </row>
    <row r="447" spans="2:26" ht="12.75">
      <c r="B447" s="426"/>
      <c r="H447" s="428"/>
      <c r="I447" s="428"/>
      <c r="J447" s="428"/>
      <c r="K447" s="428"/>
      <c r="L447" s="428"/>
      <c r="M447" s="428"/>
      <c r="N447" s="428"/>
      <c r="O447" s="428"/>
      <c r="P447" s="428"/>
      <c r="Q447" s="428"/>
      <c r="R447" s="428"/>
      <c r="T447" s="428"/>
      <c r="X447" s="428"/>
      <c r="Y447" s="428"/>
      <c r="Z447" s="428"/>
    </row>
    <row r="448" spans="2:26" ht="12.75">
      <c r="B448" s="426"/>
      <c r="H448" s="428"/>
      <c r="I448" s="428"/>
      <c r="J448" s="428"/>
      <c r="K448" s="428"/>
      <c r="L448" s="428"/>
      <c r="M448" s="428"/>
      <c r="N448" s="428"/>
      <c r="O448" s="428"/>
      <c r="P448" s="428"/>
      <c r="Q448" s="428"/>
      <c r="R448" s="428"/>
      <c r="T448" s="428"/>
      <c r="X448" s="428"/>
      <c r="Y448" s="428"/>
      <c r="Z448" s="428"/>
    </row>
    <row r="449" spans="2:26" ht="12.75">
      <c r="B449" s="426"/>
      <c r="H449" s="428"/>
      <c r="I449" s="428"/>
      <c r="J449" s="428"/>
      <c r="K449" s="428"/>
      <c r="L449" s="428"/>
      <c r="M449" s="428"/>
      <c r="N449" s="428"/>
      <c r="O449" s="428"/>
      <c r="P449" s="428"/>
      <c r="Q449" s="428"/>
      <c r="R449" s="428"/>
      <c r="T449" s="428"/>
      <c r="X449" s="428"/>
      <c r="Y449" s="428"/>
      <c r="Z449" s="428"/>
    </row>
    <row r="450" spans="2:26" ht="12.75">
      <c r="B450" s="426"/>
      <c r="H450" s="428"/>
      <c r="I450" s="428"/>
      <c r="J450" s="428"/>
      <c r="K450" s="428"/>
      <c r="L450" s="428"/>
      <c r="M450" s="428"/>
      <c r="N450" s="428"/>
      <c r="O450" s="428"/>
      <c r="P450" s="428"/>
      <c r="Q450" s="428"/>
      <c r="R450" s="428"/>
      <c r="T450" s="428"/>
      <c r="X450" s="428"/>
      <c r="Y450" s="428"/>
      <c r="Z450" s="428"/>
    </row>
    <row r="451" spans="2:26" ht="12.75">
      <c r="B451" s="426"/>
      <c r="H451" s="428"/>
      <c r="I451" s="428"/>
      <c r="J451" s="428"/>
      <c r="K451" s="428"/>
      <c r="L451" s="428"/>
      <c r="M451" s="428"/>
      <c r="N451" s="428"/>
      <c r="O451" s="428"/>
      <c r="P451" s="428"/>
      <c r="Q451" s="428"/>
      <c r="R451" s="428"/>
      <c r="T451" s="428"/>
      <c r="X451" s="428"/>
      <c r="Y451" s="428"/>
      <c r="Z451" s="428"/>
    </row>
    <row r="452" spans="2:26" ht="12.75">
      <c r="B452" s="426"/>
      <c r="H452" s="428"/>
      <c r="I452" s="428"/>
      <c r="J452" s="428"/>
      <c r="K452" s="428"/>
      <c r="L452" s="428"/>
      <c r="M452" s="428"/>
      <c r="N452" s="428"/>
      <c r="O452" s="428"/>
      <c r="P452" s="428"/>
      <c r="Q452" s="428"/>
      <c r="R452" s="428"/>
      <c r="T452" s="428"/>
      <c r="X452" s="428"/>
      <c r="Y452" s="428"/>
      <c r="Z452" s="428"/>
    </row>
    <row r="453" spans="2:26" ht="12.75">
      <c r="B453" s="426"/>
      <c r="H453" s="428"/>
      <c r="I453" s="428"/>
      <c r="J453" s="428"/>
      <c r="K453" s="428"/>
      <c r="L453" s="428"/>
      <c r="M453" s="428"/>
      <c r="N453" s="428"/>
      <c r="O453" s="428"/>
      <c r="P453" s="428"/>
      <c r="Q453" s="428"/>
      <c r="R453" s="428"/>
      <c r="T453" s="428"/>
      <c r="X453" s="428"/>
      <c r="Y453" s="428"/>
      <c r="Z453" s="428"/>
    </row>
    <row r="454" spans="2:26" ht="12.75">
      <c r="B454" s="426"/>
      <c r="H454" s="428"/>
      <c r="I454" s="428"/>
      <c r="J454" s="428"/>
      <c r="K454" s="428"/>
      <c r="L454" s="428"/>
      <c r="M454" s="428"/>
      <c r="N454" s="428"/>
      <c r="O454" s="428"/>
      <c r="P454" s="428"/>
      <c r="Q454" s="428"/>
      <c r="R454" s="428"/>
      <c r="T454" s="428"/>
      <c r="X454" s="428"/>
      <c r="Y454" s="428"/>
      <c r="Z454" s="428"/>
    </row>
    <row r="455" spans="2:26" ht="12.75">
      <c r="B455" s="426"/>
      <c r="H455" s="428"/>
      <c r="I455" s="428"/>
      <c r="J455" s="428"/>
      <c r="K455" s="428"/>
      <c r="L455" s="428"/>
      <c r="M455" s="428"/>
      <c r="N455" s="428"/>
      <c r="O455" s="428"/>
      <c r="P455" s="428"/>
      <c r="Q455" s="428"/>
      <c r="R455" s="428"/>
      <c r="T455" s="428"/>
      <c r="X455" s="428"/>
      <c r="Y455" s="428"/>
      <c r="Z455" s="428"/>
    </row>
    <row r="456" spans="2:26" ht="12.75">
      <c r="B456" s="426"/>
      <c r="H456" s="428"/>
      <c r="I456" s="428"/>
      <c r="J456" s="428"/>
      <c r="K456" s="428"/>
      <c r="L456" s="428"/>
      <c r="M456" s="428"/>
      <c r="N456" s="428"/>
      <c r="O456" s="428"/>
      <c r="P456" s="428"/>
      <c r="Q456" s="428"/>
      <c r="R456" s="428"/>
      <c r="T456" s="428"/>
      <c r="X456" s="428"/>
      <c r="Y456" s="428"/>
      <c r="Z456" s="428"/>
    </row>
    <row r="457" spans="2:26" ht="12.75">
      <c r="B457" s="426"/>
      <c r="H457" s="428"/>
      <c r="I457" s="428"/>
      <c r="J457" s="428"/>
      <c r="K457" s="428"/>
      <c r="L457" s="428"/>
      <c r="M457" s="428"/>
      <c r="N457" s="428"/>
      <c r="O457" s="428"/>
      <c r="P457" s="428"/>
      <c r="Q457" s="428"/>
      <c r="R457" s="428"/>
      <c r="T457" s="428"/>
      <c r="X457" s="428"/>
      <c r="Y457" s="428"/>
      <c r="Z457" s="428"/>
    </row>
    <row r="458" spans="2:26" ht="12.75">
      <c r="B458" s="426"/>
      <c r="H458" s="428"/>
      <c r="I458" s="428"/>
      <c r="J458" s="428"/>
      <c r="K458" s="428"/>
      <c r="L458" s="428"/>
      <c r="M458" s="428"/>
      <c r="N458" s="428"/>
      <c r="O458" s="428"/>
      <c r="P458" s="428"/>
      <c r="Q458" s="428"/>
      <c r="R458" s="428"/>
      <c r="T458" s="428"/>
      <c r="X458" s="428"/>
      <c r="Y458" s="428"/>
      <c r="Z458" s="428"/>
    </row>
    <row r="459" spans="2:26" ht="12.75">
      <c r="B459" s="426"/>
      <c r="H459" s="428"/>
      <c r="I459" s="428"/>
      <c r="J459" s="428"/>
      <c r="K459" s="428"/>
      <c r="L459" s="428"/>
      <c r="M459" s="428"/>
      <c r="N459" s="428"/>
      <c r="O459" s="428"/>
      <c r="P459" s="428"/>
      <c r="Q459" s="428"/>
      <c r="R459" s="428"/>
      <c r="T459" s="428"/>
      <c r="X459" s="428"/>
      <c r="Y459" s="428"/>
      <c r="Z459" s="428"/>
    </row>
    <row r="460" spans="2:26" ht="12.75">
      <c r="B460" s="426"/>
      <c r="H460" s="428"/>
      <c r="I460" s="428"/>
      <c r="J460" s="428"/>
      <c r="K460" s="428"/>
      <c r="L460" s="428"/>
      <c r="M460" s="428"/>
      <c r="N460" s="428"/>
      <c r="O460" s="428"/>
      <c r="P460" s="428"/>
      <c r="Q460" s="428"/>
      <c r="R460" s="428"/>
      <c r="T460" s="428"/>
      <c r="X460" s="428"/>
      <c r="Y460" s="428"/>
      <c r="Z460" s="428"/>
    </row>
    <row r="461" spans="2:26" ht="12.75">
      <c r="B461" s="426"/>
      <c r="H461" s="428"/>
      <c r="I461" s="428"/>
      <c r="J461" s="428"/>
      <c r="K461" s="428"/>
      <c r="L461" s="428"/>
      <c r="M461" s="428"/>
      <c r="N461" s="428"/>
      <c r="O461" s="428"/>
      <c r="P461" s="428"/>
      <c r="Q461" s="428"/>
      <c r="R461" s="428"/>
      <c r="T461" s="428"/>
      <c r="X461" s="428"/>
      <c r="Y461" s="428"/>
      <c r="Z461" s="428"/>
    </row>
    <row r="462" spans="2:26" ht="12.75">
      <c r="B462" s="426"/>
      <c r="H462" s="428"/>
      <c r="I462" s="428"/>
      <c r="J462" s="428"/>
      <c r="K462" s="428"/>
      <c r="L462" s="428"/>
      <c r="M462" s="428"/>
      <c r="N462" s="428"/>
      <c r="O462" s="428"/>
      <c r="P462" s="428"/>
      <c r="Q462" s="428"/>
      <c r="R462" s="428"/>
      <c r="T462" s="428"/>
      <c r="X462" s="428"/>
      <c r="Y462" s="428"/>
      <c r="Z462" s="428"/>
    </row>
    <row r="463" spans="2:26" ht="12.75">
      <c r="B463" s="426"/>
      <c r="H463" s="428"/>
      <c r="I463" s="428"/>
      <c r="J463" s="428"/>
      <c r="K463" s="428"/>
      <c r="L463" s="428"/>
      <c r="M463" s="428"/>
      <c r="N463" s="428"/>
      <c r="O463" s="428"/>
      <c r="P463" s="428"/>
      <c r="Q463" s="428"/>
      <c r="R463" s="428"/>
      <c r="T463" s="428"/>
      <c r="X463" s="428"/>
      <c r="Y463" s="428"/>
      <c r="Z463" s="428"/>
    </row>
    <row r="464" spans="2:26" ht="12.75">
      <c r="B464" s="426"/>
      <c r="H464" s="428"/>
      <c r="I464" s="428"/>
      <c r="J464" s="428"/>
      <c r="K464" s="428"/>
      <c r="L464" s="428"/>
      <c r="M464" s="428"/>
      <c r="N464" s="428"/>
      <c r="O464" s="428"/>
      <c r="P464" s="428"/>
      <c r="Q464" s="428"/>
      <c r="R464" s="428"/>
      <c r="T464" s="428"/>
      <c r="X464" s="428"/>
      <c r="Y464" s="428"/>
      <c r="Z464" s="428"/>
    </row>
    <row r="465" spans="2:26" ht="12.75">
      <c r="B465" s="426"/>
      <c r="H465" s="428"/>
      <c r="I465" s="428"/>
      <c r="J465" s="428"/>
      <c r="K465" s="428"/>
      <c r="L465" s="428"/>
      <c r="M465" s="428"/>
      <c r="N465" s="428"/>
      <c r="O465" s="428"/>
      <c r="P465" s="428"/>
      <c r="Q465" s="428"/>
      <c r="R465" s="428"/>
      <c r="T465" s="428"/>
      <c r="X465" s="428"/>
      <c r="Y465" s="428"/>
      <c r="Z465" s="428"/>
    </row>
    <row r="466" spans="2:26" ht="12.75">
      <c r="B466" s="426"/>
      <c r="H466" s="428"/>
      <c r="I466" s="428"/>
      <c r="J466" s="428"/>
      <c r="K466" s="428"/>
      <c r="L466" s="428"/>
      <c r="M466" s="428"/>
      <c r="N466" s="428"/>
      <c r="O466" s="428"/>
      <c r="P466" s="428"/>
      <c r="Q466" s="428"/>
      <c r="R466" s="428"/>
      <c r="T466" s="428"/>
      <c r="X466" s="428"/>
      <c r="Y466" s="428"/>
      <c r="Z466" s="428"/>
    </row>
    <row r="467" spans="2:26" ht="12.75">
      <c r="B467" s="426"/>
      <c r="H467" s="428"/>
      <c r="I467" s="428"/>
      <c r="J467" s="428"/>
      <c r="K467" s="428"/>
      <c r="L467" s="428"/>
      <c r="M467" s="428"/>
      <c r="N467" s="428"/>
      <c r="O467" s="428"/>
      <c r="P467" s="428"/>
      <c r="Q467" s="428"/>
      <c r="R467" s="428"/>
      <c r="T467" s="428"/>
      <c r="X467" s="428"/>
      <c r="Y467" s="428"/>
      <c r="Z467" s="428"/>
    </row>
    <row r="468" spans="2:26" ht="12.75">
      <c r="B468" s="426"/>
      <c r="H468" s="428"/>
      <c r="I468" s="428"/>
      <c r="J468" s="428"/>
      <c r="K468" s="428"/>
      <c r="L468" s="428"/>
      <c r="M468" s="428"/>
      <c r="N468" s="428"/>
      <c r="O468" s="428"/>
      <c r="P468" s="428"/>
      <c r="Q468" s="428"/>
      <c r="R468" s="428"/>
      <c r="T468" s="428"/>
      <c r="X468" s="428"/>
      <c r="Y468" s="428"/>
      <c r="Z468" s="428"/>
    </row>
    <row r="469" spans="2:26" ht="12.75">
      <c r="B469" s="426"/>
      <c r="H469" s="428"/>
      <c r="I469" s="428"/>
      <c r="J469" s="428"/>
      <c r="K469" s="428"/>
      <c r="L469" s="428"/>
      <c r="M469" s="428"/>
      <c r="N469" s="428"/>
      <c r="O469" s="428"/>
      <c r="P469" s="428"/>
      <c r="Q469" s="428"/>
      <c r="R469" s="428"/>
      <c r="T469" s="428"/>
      <c r="X469" s="428"/>
      <c r="Y469" s="428"/>
      <c r="Z469" s="428"/>
    </row>
    <row r="470" spans="2:26" ht="12.75">
      <c r="B470" s="426"/>
      <c r="H470" s="428"/>
      <c r="I470" s="428"/>
      <c r="J470" s="428"/>
      <c r="K470" s="428"/>
      <c r="L470" s="428"/>
      <c r="M470" s="428"/>
      <c r="N470" s="428"/>
      <c r="O470" s="428"/>
      <c r="P470" s="428"/>
      <c r="Q470" s="428"/>
      <c r="R470" s="428"/>
      <c r="T470" s="428"/>
      <c r="X470" s="428"/>
      <c r="Y470" s="428"/>
      <c r="Z470" s="428"/>
    </row>
    <row r="471" spans="2:26" ht="12.75">
      <c r="B471" s="426"/>
      <c r="H471" s="428"/>
      <c r="I471" s="428"/>
      <c r="J471" s="428"/>
      <c r="K471" s="428"/>
      <c r="L471" s="428"/>
      <c r="M471" s="428"/>
      <c r="N471" s="428"/>
      <c r="O471" s="428"/>
      <c r="P471" s="428"/>
      <c r="Q471" s="428"/>
      <c r="R471" s="428"/>
      <c r="T471" s="428"/>
      <c r="X471" s="428"/>
      <c r="Y471" s="428"/>
      <c r="Z471" s="428"/>
    </row>
    <row r="472" spans="2:26" ht="12.75">
      <c r="B472" s="426"/>
      <c r="H472" s="428"/>
      <c r="I472" s="428"/>
      <c r="J472" s="428"/>
      <c r="K472" s="428"/>
      <c r="L472" s="428"/>
      <c r="M472" s="428"/>
      <c r="N472" s="428"/>
      <c r="O472" s="428"/>
      <c r="P472" s="428"/>
      <c r="Q472" s="428"/>
      <c r="R472" s="428"/>
      <c r="T472" s="428"/>
      <c r="X472" s="428"/>
      <c r="Y472" s="428"/>
      <c r="Z472" s="428"/>
    </row>
    <row r="473" spans="2:26" ht="12.75">
      <c r="B473" s="426"/>
      <c r="H473" s="428"/>
      <c r="I473" s="428"/>
      <c r="J473" s="428"/>
      <c r="K473" s="428"/>
      <c r="L473" s="428"/>
      <c r="M473" s="428"/>
      <c r="N473" s="428"/>
      <c r="O473" s="428"/>
      <c r="P473" s="428"/>
      <c r="Q473" s="428"/>
      <c r="R473" s="428"/>
      <c r="T473" s="428"/>
      <c r="X473" s="428"/>
      <c r="Y473" s="428"/>
      <c r="Z473" s="428"/>
    </row>
    <row r="474" spans="2:26" ht="12.75">
      <c r="B474" s="426"/>
      <c r="H474" s="428"/>
      <c r="I474" s="428"/>
      <c r="J474" s="428"/>
      <c r="K474" s="428"/>
      <c r="L474" s="428"/>
      <c r="M474" s="428"/>
      <c r="N474" s="428"/>
      <c r="O474" s="428"/>
      <c r="P474" s="428"/>
      <c r="Q474" s="428"/>
      <c r="R474" s="428"/>
      <c r="T474" s="428"/>
      <c r="X474" s="428"/>
      <c r="Y474" s="428"/>
      <c r="Z474" s="428"/>
    </row>
    <row r="475" spans="2:26" ht="12.75">
      <c r="B475" s="426"/>
      <c r="H475" s="428"/>
      <c r="I475" s="428"/>
      <c r="J475" s="428"/>
      <c r="K475" s="428"/>
      <c r="L475" s="428"/>
      <c r="M475" s="428"/>
      <c r="N475" s="428"/>
      <c r="O475" s="428"/>
      <c r="P475" s="428"/>
      <c r="Q475" s="428"/>
      <c r="R475" s="428"/>
      <c r="T475" s="428"/>
      <c r="X475" s="428"/>
      <c r="Y475" s="428"/>
      <c r="Z475" s="428"/>
    </row>
    <row r="476" spans="2:26" ht="12.75">
      <c r="B476" s="426"/>
      <c r="H476" s="428"/>
      <c r="I476" s="428"/>
      <c r="J476" s="428"/>
      <c r="K476" s="428"/>
      <c r="L476" s="428"/>
      <c r="M476" s="428"/>
      <c r="N476" s="428"/>
      <c r="O476" s="428"/>
      <c r="P476" s="428"/>
      <c r="Q476" s="428"/>
      <c r="R476" s="428"/>
      <c r="T476" s="428"/>
      <c r="X476" s="428"/>
      <c r="Y476" s="428"/>
      <c r="Z476" s="428"/>
    </row>
    <row r="477" spans="2:26" ht="12.75">
      <c r="B477" s="426"/>
      <c r="H477" s="428"/>
      <c r="I477" s="428"/>
      <c r="J477" s="428"/>
      <c r="K477" s="428"/>
      <c r="L477" s="428"/>
      <c r="M477" s="428"/>
      <c r="N477" s="428"/>
      <c r="O477" s="428"/>
      <c r="P477" s="428"/>
      <c r="Q477" s="428"/>
      <c r="R477" s="428"/>
      <c r="T477" s="428"/>
      <c r="X477" s="428"/>
      <c r="Y477" s="428"/>
      <c r="Z477" s="428"/>
    </row>
    <row r="478" spans="2:26" ht="12.75">
      <c r="B478" s="426"/>
      <c r="H478" s="428"/>
      <c r="I478" s="428"/>
      <c r="J478" s="428"/>
      <c r="K478" s="428"/>
      <c r="L478" s="428"/>
      <c r="M478" s="428"/>
      <c r="N478" s="428"/>
      <c r="O478" s="428"/>
      <c r="P478" s="428"/>
      <c r="Q478" s="428"/>
      <c r="R478" s="428"/>
      <c r="T478" s="428"/>
      <c r="X478" s="428"/>
      <c r="Y478" s="428"/>
      <c r="Z478" s="428"/>
    </row>
    <row r="479" spans="2:26" ht="12.75">
      <c r="B479" s="426"/>
      <c r="H479" s="428"/>
      <c r="I479" s="428"/>
      <c r="J479" s="428"/>
      <c r="K479" s="428"/>
      <c r="L479" s="428"/>
      <c r="M479" s="428"/>
      <c r="N479" s="428"/>
      <c r="O479" s="428"/>
      <c r="P479" s="428"/>
      <c r="Q479" s="428"/>
      <c r="R479" s="428"/>
      <c r="T479" s="428"/>
      <c r="X479" s="428"/>
      <c r="Y479" s="428"/>
      <c r="Z479" s="428"/>
    </row>
    <row r="480" spans="2:26" ht="12.75">
      <c r="B480" s="426"/>
      <c r="H480" s="428"/>
      <c r="I480" s="428"/>
      <c r="J480" s="428"/>
      <c r="K480" s="428"/>
      <c r="L480" s="428"/>
      <c r="M480" s="428"/>
      <c r="N480" s="428"/>
      <c r="O480" s="428"/>
      <c r="P480" s="428"/>
      <c r="Q480" s="428"/>
      <c r="R480" s="428"/>
      <c r="T480" s="428"/>
      <c r="X480" s="428"/>
      <c r="Y480" s="428"/>
      <c r="Z480" s="428"/>
    </row>
    <row r="481" spans="2:26" ht="12.75">
      <c r="B481" s="426"/>
      <c r="H481" s="428"/>
      <c r="I481" s="428"/>
      <c r="J481" s="428"/>
      <c r="K481" s="428"/>
      <c r="L481" s="428"/>
      <c r="M481" s="428"/>
      <c r="N481" s="428"/>
      <c r="O481" s="428"/>
      <c r="P481" s="428"/>
      <c r="Q481" s="428"/>
      <c r="R481" s="428"/>
      <c r="T481" s="428"/>
      <c r="X481" s="428"/>
      <c r="Y481" s="428"/>
      <c r="Z481" s="428"/>
    </row>
    <row r="482" spans="2:26" ht="12.75">
      <c r="B482" s="426"/>
      <c r="H482" s="428"/>
      <c r="I482" s="428"/>
      <c r="J482" s="428"/>
      <c r="K482" s="428"/>
      <c r="L482" s="428"/>
      <c r="M482" s="428"/>
      <c r="N482" s="428"/>
      <c r="O482" s="428"/>
      <c r="P482" s="428"/>
      <c r="Q482" s="428"/>
      <c r="R482" s="428"/>
      <c r="T482" s="428"/>
      <c r="X482" s="428"/>
      <c r="Y482" s="428"/>
      <c r="Z482" s="428"/>
    </row>
    <row r="483" spans="2:26" ht="12.75">
      <c r="B483" s="426"/>
      <c r="H483" s="428"/>
      <c r="I483" s="428"/>
      <c r="J483" s="428"/>
      <c r="K483" s="428"/>
      <c r="L483" s="428"/>
      <c r="M483" s="428"/>
      <c r="N483" s="428"/>
      <c r="O483" s="428"/>
      <c r="P483" s="428"/>
      <c r="Q483" s="428"/>
      <c r="R483" s="428"/>
      <c r="T483" s="428"/>
      <c r="X483" s="428"/>
      <c r="Y483" s="428"/>
      <c r="Z483" s="428"/>
    </row>
    <row r="484" spans="2:26" ht="12.75">
      <c r="B484" s="426"/>
      <c r="H484" s="428"/>
      <c r="I484" s="428"/>
      <c r="J484" s="428"/>
      <c r="K484" s="428"/>
      <c r="L484" s="428"/>
      <c r="M484" s="428"/>
      <c r="N484" s="428"/>
      <c r="O484" s="428"/>
      <c r="P484" s="428"/>
      <c r="Q484" s="428"/>
      <c r="R484" s="428"/>
      <c r="T484" s="428"/>
      <c r="X484" s="428"/>
      <c r="Y484" s="428"/>
      <c r="Z484" s="428"/>
    </row>
    <row r="485" spans="2:26" ht="12.75">
      <c r="B485" s="426"/>
      <c r="H485" s="428"/>
      <c r="I485" s="428"/>
      <c r="J485" s="428"/>
      <c r="K485" s="428"/>
      <c r="L485" s="428"/>
      <c r="M485" s="428"/>
      <c r="N485" s="428"/>
      <c r="O485" s="428"/>
      <c r="P485" s="428"/>
      <c r="Q485" s="428"/>
      <c r="R485" s="428"/>
      <c r="T485" s="428"/>
      <c r="X485" s="428"/>
      <c r="Y485" s="428"/>
      <c r="Z485" s="428"/>
    </row>
    <row r="486" spans="2:26" ht="12.75">
      <c r="B486" s="426"/>
      <c r="H486" s="428"/>
      <c r="I486" s="428"/>
      <c r="J486" s="428"/>
      <c r="K486" s="428"/>
      <c r="L486" s="428"/>
      <c r="M486" s="428"/>
      <c r="N486" s="428"/>
      <c r="O486" s="428"/>
      <c r="P486" s="428"/>
      <c r="Q486" s="428"/>
      <c r="R486" s="428"/>
      <c r="T486" s="428"/>
      <c r="X486" s="428"/>
      <c r="Y486" s="428"/>
      <c r="Z486" s="428"/>
    </row>
    <row r="487" spans="2:26" ht="12.75">
      <c r="B487" s="426"/>
      <c r="H487" s="428"/>
      <c r="I487" s="428"/>
      <c r="J487" s="428"/>
      <c r="K487" s="428"/>
      <c r="L487" s="428"/>
      <c r="M487" s="428"/>
      <c r="N487" s="428"/>
      <c r="O487" s="428"/>
      <c r="P487" s="428"/>
      <c r="Q487" s="428"/>
      <c r="R487" s="428"/>
      <c r="T487" s="428"/>
      <c r="X487" s="428"/>
      <c r="Y487" s="428"/>
      <c r="Z487" s="428"/>
    </row>
    <row r="488" spans="2:26" ht="12.75">
      <c r="B488" s="426"/>
      <c r="H488" s="428"/>
      <c r="I488" s="428"/>
      <c r="J488" s="428"/>
      <c r="K488" s="428"/>
      <c r="L488" s="428"/>
      <c r="M488" s="428"/>
      <c r="N488" s="428"/>
      <c r="O488" s="428"/>
      <c r="P488" s="428"/>
      <c r="Q488" s="428"/>
      <c r="R488" s="428"/>
      <c r="T488" s="428"/>
      <c r="X488" s="428"/>
      <c r="Y488" s="428"/>
      <c r="Z488" s="428"/>
    </row>
    <row r="489" spans="2:26" ht="12.75">
      <c r="B489" s="426"/>
      <c r="H489" s="428"/>
      <c r="I489" s="428"/>
      <c r="J489" s="428"/>
      <c r="K489" s="428"/>
      <c r="L489" s="428"/>
      <c r="M489" s="428"/>
      <c r="N489" s="428"/>
      <c r="O489" s="428"/>
      <c r="P489" s="428"/>
      <c r="Q489" s="428"/>
      <c r="R489" s="428"/>
      <c r="T489" s="428"/>
      <c r="X489" s="428"/>
      <c r="Y489" s="428"/>
      <c r="Z489" s="428"/>
    </row>
    <row r="490" spans="2:26" ht="12.75">
      <c r="B490" s="426"/>
      <c r="H490" s="428"/>
      <c r="I490" s="428"/>
      <c r="J490" s="428"/>
      <c r="K490" s="428"/>
      <c r="L490" s="428"/>
      <c r="M490" s="428"/>
      <c r="N490" s="428"/>
      <c r="O490" s="428"/>
      <c r="P490" s="428"/>
      <c r="Q490" s="428"/>
      <c r="R490" s="428"/>
      <c r="T490" s="428"/>
      <c r="X490" s="428"/>
      <c r="Y490" s="428"/>
      <c r="Z490" s="428"/>
    </row>
    <row r="491" spans="2:26" ht="12.75">
      <c r="B491" s="426"/>
      <c r="H491" s="428"/>
      <c r="I491" s="428"/>
      <c r="J491" s="428"/>
      <c r="K491" s="428"/>
      <c r="L491" s="428"/>
      <c r="M491" s="428"/>
      <c r="N491" s="428"/>
      <c r="O491" s="428"/>
      <c r="P491" s="428"/>
      <c r="Q491" s="428"/>
      <c r="R491" s="428"/>
      <c r="T491" s="428"/>
      <c r="X491" s="428"/>
      <c r="Y491" s="428"/>
      <c r="Z491" s="428"/>
    </row>
    <row r="492" spans="2:26" ht="12.75">
      <c r="B492" s="426"/>
      <c r="H492" s="428"/>
      <c r="I492" s="428"/>
      <c r="J492" s="428"/>
      <c r="K492" s="428"/>
      <c r="L492" s="428"/>
      <c r="M492" s="428"/>
      <c r="N492" s="428"/>
      <c r="O492" s="428"/>
      <c r="P492" s="428"/>
      <c r="Q492" s="428"/>
      <c r="R492" s="428"/>
      <c r="T492" s="428"/>
      <c r="X492" s="428"/>
      <c r="Y492" s="428"/>
      <c r="Z492" s="428"/>
    </row>
    <row r="493" spans="2:26" ht="12.75">
      <c r="B493" s="426"/>
      <c r="H493" s="428"/>
      <c r="I493" s="428"/>
      <c r="J493" s="428"/>
      <c r="K493" s="428"/>
      <c r="L493" s="428"/>
      <c r="M493" s="428"/>
      <c r="N493" s="428"/>
      <c r="O493" s="428"/>
      <c r="P493" s="428"/>
      <c r="Q493" s="428"/>
      <c r="R493" s="428"/>
      <c r="T493" s="428"/>
      <c r="X493" s="428"/>
      <c r="Y493" s="428"/>
      <c r="Z493" s="428"/>
    </row>
    <row r="494" spans="2:26" ht="12.75">
      <c r="B494" s="426"/>
      <c r="H494" s="428"/>
      <c r="I494" s="428"/>
      <c r="J494" s="428"/>
      <c r="K494" s="428"/>
      <c r="L494" s="428"/>
      <c r="M494" s="428"/>
      <c r="N494" s="428"/>
      <c r="O494" s="428"/>
      <c r="P494" s="428"/>
      <c r="Q494" s="428"/>
      <c r="R494" s="428"/>
      <c r="T494" s="428"/>
      <c r="X494" s="428"/>
      <c r="Y494" s="428"/>
      <c r="Z494" s="428"/>
    </row>
    <row r="495" spans="2:26" ht="12.75">
      <c r="B495" s="426"/>
      <c r="H495" s="428"/>
      <c r="I495" s="428"/>
      <c r="J495" s="428"/>
      <c r="K495" s="428"/>
      <c r="L495" s="428"/>
      <c r="M495" s="428"/>
      <c r="N495" s="428"/>
      <c r="O495" s="428"/>
      <c r="P495" s="428"/>
      <c r="Q495" s="428"/>
      <c r="R495" s="428"/>
      <c r="T495" s="428"/>
      <c r="X495" s="428"/>
      <c r="Y495" s="428"/>
      <c r="Z495" s="428"/>
    </row>
    <row r="496" spans="2:26" ht="12.75">
      <c r="B496" s="426"/>
      <c r="H496" s="428"/>
      <c r="I496" s="428"/>
      <c r="J496" s="428"/>
      <c r="K496" s="428"/>
      <c r="L496" s="428"/>
      <c r="M496" s="428"/>
      <c r="N496" s="428"/>
      <c r="O496" s="428"/>
      <c r="P496" s="428"/>
      <c r="Q496" s="428"/>
      <c r="R496" s="428"/>
      <c r="T496" s="428"/>
      <c r="X496" s="428"/>
      <c r="Y496" s="428"/>
      <c r="Z496" s="428"/>
    </row>
    <row r="497" spans="2:26" ht="12.75">
      <c r="B497" s="426"/>
      <c r="H497" s="428"/>
      <c r="I497" s="428"/>
      <c r="J497" s="428"/>
      <c r="K497" s="428"/>
      <c r="L497" s="428"/>
      <c r="M497" s="428"/>
      <c r="N497" s="428"/>
      <c r="O497" s="428"/>
      <c r="P497" s="428"/>
      <c r="Q497" s="428"/>
      <c r="R497" s="428"/>
      <c r="T497" s="428"/>
      <c r="X497" s="428"/>
      <c r="Y497" s="428"/>
      <c r="Z497" s="428"/>
    </row>
    <row r="498" spans="2:26" ht="12.75">
      <c r="B498" s="426"/>
      <c r="H498" s="428"/>
      <c r="I498" s="428"/>
      <c r="J498" s="428"/>
      <c r="K498" s="428"/>
      <c r="L498" s="428"/>
      <c r="M498" s="428"/>
      <c r="N498" s="428"/>
      <c r="O498" s="428"/>
      <c r="P498" s="428"/>
      <c r="Q498" s="428"/>
      <c r="R498" s="428"/>
      <c r="T498" s="428"/>
      <c r="X498" s="428"/>
      <c r="Y498" s="428"/>
      <c r="Z498" s="428"/>
    </row>
    <row r="499" spans="2:26" ht="12.75">
      <c r="B499" s="426"/>
      <c r="H499" s="428"/>
      <c r="I499" s="428"/>
      <c r="J499" s="428"/>
      <c r="K499" s="428"/>
      <c r="L499" s="428"/>
      <c r="M499" s="428"/>
      <c r="N499" s="428"/>
      <c r="O499" s="428"/>
      <c r="P499" s="428"/>
      <c r="Q499" s="428"/>
      <c r="R499" s="428"/>
      <c r="T499" s="428"/>
      <c r="X499" s="428"/>
      <c r="Y499" s="428"/>
      <c r="Z499" s="428"/>
    </row>
    <row r="500" spans="2:26" ht="12.75">
      <c r="B500" s="426"/>
      <c r="H500" s="428"/>
      <c r="I500" s="428"/>
      <c r="J500" s="428"/>
      <c r="K500" s="428"/>
      <c r="L500" s="428"/>
      <c r="M500" s="428"/>
      <c r="N500" s="428"/>
      <c r="O500" s="428"/>
      <c r="P500" s="428"/>
      <c r="Q500" s="428"/>
      <c r="R500" s="428"/>
      <c r="T500" s="428"/>
      <c r="X500" s="428"/>
      <c r="Y500" s="428"/>
      <c r="Z500" s="428"/>
    </row>
    <row r="501" spans="2:26" ht="12.75">
      <c r="B501" s="426"/>
      <c r="H501" s="428"/>
      <c r="I501" s="428"/>
      <c r="J501" s="428"/>
      <c r="K501" s="428"/>
      <c r="L501" s="428"/>
      <c r="M501" s="428"/>
      <c r="N501" s="428"/>
      <c r="O501" s="428"/>
      <c r="P501" s="428"/>
      <c r="Q501" s="428"/>
      <c r="R501" s="428"/>
      <c r="T501" s="428"/>
      <c r="X501" s="428"/>
      <c r="Y501" s="428"/>
      <c r="Z501" s="428"/>
    </row>
    <row r="502" spans="2:26" ht="12.75">
      <c r="B502" s="426"/>
      <c r="H502" s="428"/>
      <c r="I502" s="428"/>
      <c r="J502" s="428"/>
      <c r="K502" s="428"/>
      <c r="L502" s="428"/>
      <c r="M502" s="428"/>
      <c r="N502" s="428"/>
      <c r="O502" s="428"/>
      <c r="P502" s="428"/>
      <c r="Q502" s="428"/>
      <c r="R502" s="428"/>
      <c r="T502" s="428"/>
      <c r="X502" s="428"/>
      <c r="Y502" s="428"/>
      <c r="Z502" s="428"/>
    </row>
    <row r="503" spans="2:26" ht="12.75">
      <c r="B503" s="426"/>
      <c r="H503" s="428"/>
      <c r="I503" s="428"/>
      <c r="J503" s="428"/>
      <c r="K503" s="428"/>
      <c r="L503" s="428"/>
      <c r="M503" s="428"/>
      <c r="N503" s="428"/>
      <c r="O503" s="428"/>
      <c r="P503" s="428"/>
      <c r="Q503" s="428"/>
      <c r="R503" s="428"/>
      <c r="T503" s="428"/>
      <c r="X503" s="428"/>
      <c r="Y503" s="428"/>
      <c r="Z503" s="428"/>
    </row>
    <row r="504" spans="2:26" ht="12.75">
      <c r="B504" s="426"/>
      <c r="H504" s="428"/>
      <c r="I504" s="428"/>
      <c r="J504" s="428"/>
      <c r="K504" s="428"/>
      <c r="L504" s="428"/>
      <c r="M504" s="428"/>
      <c r="N504" s="428"/>
      <c r="O504" s="428"/>
      <c r="P504" s="428"/>
      <c r="Q504" s="428"/>
      <c r="R504" s="428"/>
      <c r="T504" s="428"/>
      <c r="X504" s="428"/>
      <c r="Y504" s="428"/>
      <c r="Z504" s="428"/>
    </row>
    <row r="505" spans="2:26" ht="12.75">
      <c r="B505" s="426"/>
      <c r="H505" s="428"/>
      <c r="I505" s="428"/>
      <c r="J505" s="428"/>
      <c r="K505" s="428"/>
      <c r="L505" s="428"/>
      <c r="M505" s="428"/>
      <c r="N505" s="428"/>
      <c r="O505" s="428"/>
      <c r="P505" s="428"/>
      <c r="Q505" s="428"/>
      <c r="R505" s="428"/>
      <c r="T505" s="428"/>
      <c r="X505" s="428"/>
      <c r="Y505" s="428"/>
      <c r="Z505" s="428"/>
    </row>
    <row r="506" spans="2:26" ht="12.75">
      <c r="B506" s="426"/>
      <c r="H506" s="428"/>
      <c r="I506" s="428"/>
      <c r="J506" s="428"/>
      <c r="K506" s="428"/>
      <c r="L506" s="428"/>
      <c r="M506" s="428"/>
      <c r="N506" s="428"/>
      <c r="O506" s="428"/>
      <c r="P506" s="428"/>
      <c r="Q506" s="428"/>
      <c r="R506" s="428"/>
      <c r="T506" s="428"/>
      <c r="X506" s="428"/>
      <c r="Y506" s="428"/>
      <c r="Z506" s="428"/>
    </row>
    <row r="507" spans="2:26" ht="12.75">
      <c r="B507" s="426"/>
      <c r="H507" s="428"/>
      <c r="I507" s="428"/>
      <c r="J507" s="428"/>
      <c r="K507" s="428"/>
      <c r="L507" s="428"/>
      <c r="M507" s="428"/>
      <c r="N507" s="428"/>
      <c r="O507" s="428"/>
      <c r="P507" s="428"/>
      <c r="Q507" s="428"/>
      <c r="R507" s="428"/>
      <c r="T507" s="428"/>
      <c r="X507" s="428"/>
      <c r="Y507" s="428"/>
      <c r="Z507" s="428"/>
    </row>
    <row r="508" spans="2:26" ht="12.75">
      <c r="B508" s="426"/>
      <c r="H508" s="428"/>
      <c r="I508" s="428"/>
      <c r="J508" s="428"/>
      <c r="K508" s="428"/>
      <c r="L508" s="428"/>
      <c r="M508" s="428"/>
      <c r="N508" s="428"/>
      <c r="O508" s="428"/>
      <c r="P508" s="428"/>
      <c r="Q508" s="428"/>
      <c r="R508" s="428"/>
      <c r="T508" s="428"/>
      <c r="X508" s="428"/>
      <c r="Y508" s="428"/>
      <c r="Z508" s="428"/>
    </row>
    <row r="509" spans="2:26" ht="12.75">
      <c r="B509" s="426"/>
      <c r="H509" s="428"/>
      <c r="I509" s="428"/>
      <c r="J509" s="428"/>
      <c r="K509" s="428"/>
      <c r="L509" s="428"/>
      <c r="M509" s="428"/>
      <c r="N509" s="428"/>
      <c r="O509" s="428"/>
      <c r="P509" s="428"/>
      <c r="Q509" s="428"/>
      <c r="R509" s="428"/>
      <c r="T509" s="428"/>
      <c r="X509" s="428"/>
      <c r="Y509" s="428"/>
      <c r="Z509" s="428"/>
    </row>
    <row r="510" spans="2:26" ht="12.75">
      <c r="B510" s="426"/>
      <c r="H510" s="428"/>
      <c r="I510" s="428"/>
      <c r="J510" s="428"/>
      <c r="K510" s="428"/>
      <c r="L510" s="428"/>
      <c r="M510" s="428"/>
      <c r="N510" s="428"/>
      <c r="O510" s="428"/>
      <c r="P510" s="428"/>
      <c r="Q510" s="428"/>
      <c r="R510" s="428"/>
      <c r="T510" s="428"/>
      <c r="X510" s="428"/>
      <c r="Y510" s="428"/>
      <c r="Z510" s="428"/>
    </row>
    <row r="511" spans="2:26" ht="12.75">
      <c r="B511" s="426"/>
      <c r="H511" s="428"/>
      <c r="I511" s="428"/>
      <c r="J511" s="428"/>
      <c r="K511" s="428"/>
      <c r="L511" s="428"/>
      <c r="M511" s="428"/>
      <c r="N511" s="428"/>
      <c r="O511" s="428"/>
      <c r="P511" s="428"/>
      <c r="Q511" s="428"/>
      <c r="R511" s="428"/>
      <c r="T511" s="428"/>
      <c r="X511" s="428"/>
      <c r="Y511" s="428"/>
      <c r="Z511" s="428"/>
    </row>
    <row r="512" spans="2:26" ht="12.75">
      <c r="B512" s="426"/>
      <c r="H512" s="428"/>
      <c r="I512" s="428"/>
      <c r="J512" s="428"/>
      <c r="K512" s="428"/>
      <c r="L512" s="428"/>
      <c r="M512" s="428"/>
      <c r="N512" s="428"/>
      <c r="O512" s="428"/>
      <c r="P512" s="428"/>
      <c r="Q512" s="428"/>
      <c r="R512" s="428"/>
      <c r="T512" s="428"/>
      <c r="X512" s="428"/>
      <c r="Y512" s="428"/>
      <c r="Z512" s="428"/>
    </row>
    <row r="513" spans="2:26" ht="12.75">
      <c r="B513" s="426"/>
      <c r="H513" s="428"/>
      <c r="I513" s="428"/>
      <c r="J513" s="428"/>
      <c r="K513" s="428"/>
      <c r="L513" s="428"/>
      <c r="M513" s="428"/>
      <c r="N513" s="428"/>
      <c r="O513" s="428"/>
      <c r="P513" s="428"/>
      <c r="Q513" s="428"/>
      <c r="R513" s="428"/>
      <c r="T513" s="428"/>
      <c r="X513" s="428"/>
      <c r="Y513" s="428"/>
      <c r="Z513" s="428"/>
    </row>
    <row r="514" spans="2:26" ht="12.75">
      <c r="B514" s="426"/>
      <c r="H514" s="428"/>
      <c r="I514" s="428"/>
      <c r="J514" s="428"/>
      <c r="K514" s="428"/>
      <c r="L514" s="428"/>
      <c r="M514" s="428"/>
      <c r="N514" s="428"/>
      <c r="O514" s="428"/>
      <c r="P514" s="428"/>
      <c r="Q514" s="428"/>
      <c r="R514" s="428"/>
      <c r="T514" s="428"/>
      <c r="X514" s="428"/>
      <c r="Y514" s="428"/>
      <c r="Z514" s="428"/>
    </row>
    <row r="515" spans="2:26" ht="12.75">
      <c r="B515" s="426"/>
      <c r="H515" s="428"/>
      <c r="I515" s="428"/>
      <c r="J515" s="428"/>
      <c r="K515" s="428"/>
      <c r="L515" s="428"/>
      <c r="M515" s="428"/>
      <c r="N515" s="428"/>
      <c r="O515" s="428"/>
      <c r="P515" s="428"/>
      <c r="Q515" s="428"/>
      <c r="R515" s="428"/>
      <c r="T515" s="428"/>
      <c r="X515" s="428"/>
      <c r="Y515" s="428"/>
      <c r="Z515" s="428"/>
    </row>
    <row r="516" spans="2:26" ht="12.75">
      <c r="B516" s="426"/>
      <c r="H516" s="428"/>
      <c r="I516" s="428"/>
      <c r="J516" s="428"/>
      <c r="K516" s="428"/>
      <c r="L516" s="428"/>
      <c r="M516" s="428"/>
      <c r="N516" s="428"/>
      <c r="O516" s="428"/>
      <c r="P516" s="428"/>
      <c r="Q516" s="428"/>
      <c r="R516" s="428"/>
      <c r="T516" s="428"/>
      <c r="X516" s="428"/>
      <c r="Y516" s="428"/>
      <c r="Z516" s="428"/>
    </row>
    <row r="517" spans="2:26" ht="12.75">
      <c r="B517" s="426"/>
      <c r="H517" s="428"/>
      <c r="I517" s="428"/>
      <c r="J517" s="428"/>
      <c r="K517" s="428"/>
      <c r="L517" s="428"/>
      <c r="M517" s="428"/>
      <c r="N517" s="428"/>
      <c r="O517" s="428"/>
      <c r="P517" s="428"/>
      <c r="Q517" s="428"/>
      <c r="R517" s="428"/>
      <c r="T517" s="428"/>
      <c r="X517" s="428"/>
      <c r="Y517" s="428"/>
      <c r="Z517" s="428"/>
    </row>
    <row r="518" spans="2:26" ht="12.75">
      <c r="B518" s="426"/>
      <c r="H518" s="428"/>
      <c r="I518" s="428"/>
      <c r="J518" s="428"/>
      <c r="K518" s="428"/>
      <c r="L518" s="428"/>
      <c r="M518" s="428"/>
      <c r="N518" s="428"/>
      <c r="O518" s="428"/>
      <c r="P518" s="428"/>
      <c r="Q518" s="428"/>
      <c r="R518" s="428"/>
      <c r="T518" s="428"/>
      <c r="X518" s="428"/>
      <c r="Y518" s="428"/>
      <c r="Z518" s="428"/>
    </row>
    <row r="519" spans="2:26" ht="12.75">
      <c r="B519" s="426"/>
      <c r="H519" s="428"/>
      <c r="I519" s="428"/>
      <c r="J519" s="428"/>
      <c r="K519" s="428"/>
      <c r="L519" s="428"/>
      <c r="M519" s="428"/>
      <c r="N519" s="428"/>
      <c r="O519" s="428"/>
      <c r="P519" s="428"/>
      <c r="Q519" s="428"/>
      <c r="R519" s="428"/>
      <c r="T519" s="428"/>
      <c r="X519" s="428"/>
      <c r="Y519" s="428"/>
      <c r="Z519" s="428"/>
    </row>
    <row r="520" spans="2:26" ht="12.75">
      <c r="B520" s="426"/>
      <c r="H520" s="428"/>
      <c r="I520" s="428"/>
      <c r="J520" s="428"/>
      <c r="K520" s="428"/>
      <c r="L520" s="428"/>
      <c r="M520" s="428"/>
      <c r="N520" s="428"/>
      <c r="O520" s="428"/>
      <c r="P520" s="428"/>
      <c r="Q520" s="428"/>
      <c r="R520" s="428"/>
      <c r="T520" s="428"/>
      <c r="X520" s="428"/>
      <c r="Y520" s="428"/>
      <c r="Z520" s="428"/>
    </row>
    <row r="521" spans="2:26" ht="12.75">
      <c r="B521" s="426"/>
      <c r="H521" s="428"/>
      <c r="I521" s="428"/>
      <c r="J521" s="428"/>
      <c r="K521" s="428"/>
      <c r="L521" s="428"/>
      <c r="M521" s="428"/>
      <c r="N521" s="428"/>
      <c r="O521" s="428"/>
      <c r="P521" s="428"/>
      <c r="Q521" s="428"/>
      <c r="R521" s="428"/>
      <c r="T521" s="428"/>
      <c r="X521" s="428"/>
      <c r="Y521" s="428"/>
      <c r="Z521" s="428"/>
    </row>
    <row r="522" spans="2:26" ht="12.75">
      <c r="B522" s="426"/>
      <c r="H522" s="428"/>
      <c r="I522" s="428"/>
      <c r="J522" s="428"/>
      <c r="K522" s="428"/>
      <c r="L522" s="428"/>
      <c r="M522" s="428"/>
      <c r="N522" s="428"/>
      <c r="O522" s="428"/>
      <c r="P522" s="428"/>
      <c r="Q522" s="428"/>
      <c r="R522" s="428"/>
      <c r="T522" s="428"/>
      <c r="X522" s="428"/>
      <c r="Y522" s="428"/>
      <c r="Z522" s="428"/>
    </row>
    <row r="523" spans="2:26" ht="12.75">
      <c r="B523" s="426"/>
      <c r="H523" s="428"/>
      <c r="I523" s="428"/>
      <c r="J523" s="428"/>
      <c r="K523" s="428"/>
      <c r="L523" s="428"/>
      <c r="M523" s="428"/>
      <c r="N523" s="428"/>
      <c r="O523" s="428"/>
      <c r="P523" s="428"/>
      <c r="Q523" s="428"/>
      <c r="R523" s="428"/>
      <c r="T523" s="428"/>
      <c r="X523" s="428"/>
      <c r="Y523" s="428"/>
      <c r="Z523" s="428"/>
    </row>
    <row r="524" spans="2:26" ht="12.75">
      <c r="B524" s="426"/>
      <c r="H524" s="428"/>
      <c r="I524" s="428"/>
      <c r="J524" s="428"/>
      <c r="K524" s="428"/>
      <c r="L524" s="428"/>
      <c r="M524" s="428"/>
      <c r="N524" s="428"/>
      <c r="O524" s="428"/>
      <c r="P524" s="428"/>
      <c r="Q524" s="428"/>
      <c r="R524" s="428"/>
      <c r="T524" s="428"/>
      <c r="X524" s="428"/>
      <c r="Y524" s="428"/>
      <c r="Z524" s="428"/>
    </row>
    <row r="525" spans="2:26" ht="12.75">
      <c r="B525" s="426"/>
      <c r="H525" s="428"/>
      <c r="I525" s="428"/>
      <c r="J525" s="428"/>
      <c r="K525" s="428"/>
      <c r="L525" s="428"/>
      <c r="M525" s="428"/>
      <c r="N525" s="428"/>
      <c r="O525" s="428"/>
      <c r="P525" s="428"/>
      <c r="Q525" s="428"/>
      <c r="R525" s="428"/>
      <c r="T525" s="428"/>
      <c r="X525" s="428"/>
      <c r="Y525" s="428"/>
      <c r="Z525" s="428"/>
    </row>
    <row r="526" spans="2:26" ht="12.75">
      <c r="B526" s="426"/>
      <c r="H526" s="428"/>
      <c r="I526" s="428"/>
      <c r="J526" s="428"/>
      <c r="K526" s="428"/>
      <c r="L526" s="428"/>
      <c r="M526" s="428"/>
      <c r="N526" s="428"/>
      <c r="O526" s="428"/>
      <c r="P526" s="428"/>
      <c r="Q526" s="428"/>
      <c r="R526" s="428"/>
      <c r="T526" s="428"/>
      <c r="X526" s="428"/>
      <c r="Y526" s="428"/>
      <c r="Z526" s="428"/>
    </row>
    <row r="527" spans="2:26" ht="12.75">
      <c r="B527" s="426"/>
      <c r="H527" s="428"/>
      <c r="I527" s="428"/>
      <c r="J527" s="428"/>
      <c r="K527" s="428"/>
      <c r="L527" s="428"/>
      <c r="M527" s="428"/>
      <c r="N527" s="428"/>
      <c r="O527" s="428"/>
      <c r="P527" s="428"/>
      <c r="Q527" s="428"/>
      <c r="R527" s="428"/>
      <c r="T527" s="428"/>
      <c r="X527" s="428"/>
      <c r="Y527" s="428"/>
      <c r="Z527" s="428"/>
    </row>
    <row r="528" spans="2:26" ht="12.75">
      <c r="B528" s="426"/>
      <c r="H528" s="428"/>
      <c r="I528" s="428"/>
      <c r="J528" s="428"/>
      <c r="K528" s="428"/>
      <c r="L528" s="428"/>
      <c r="M528" s="428"/>
      <c r="N528" s="428"/>
      <c r="O528" s="428"/>
      <c r="P528" s="428"/>
      <c r="Q528" s="428"/>
      <c r="R528" s="428"/>
      <c r="T528" s="428"/>
      <c r="X528" s="428"/>
      <c r="Y528" s="428"/>
      <c r="Z528" s="428"/>
    </row>
    <row r="529" spans="2:26" ht="12.75">
      <c r="B529" s="426"/>
      <c r="H529" s="428"/>
      <c r="I529" s="428"/>
      <c r="J529" s="428"/>
      <c r="K529" s="428"/>
      <c r="L529" s="428"/>
      <c r="M529" s="428"/>
      <c r="N529" s="428"/>
      <c r="O529" s="428"/>
      <c r="P529" s="428"/>
      <c r="Q529" s="428"/>
      <c r="R529" s="428"/>
      <c r="T529" s="428"/>
      <c r="X529" s="428"/>
      <c r="Y529" s="428"/>
      <c r="Z529" s="428"/>
    </row>
    <row r="530" spans="2:26" ht="12.75">
      <c r="B530" s="426"/>
      <c r="H530" s="428"/>
      <c r="I530" s="428"/>
      <c r="J530" s="428"/>
      <c r="K530" s="428"/>
      <c r="L530" s="428"/>
      <c r="M530" s="428"/>
      <c r="N530" s="428"/>
      <c r="O530" s="428"/>
      <c r="P530" s="428"/>
      <c r="Q530" s="428"/>
      <c r="R530" s="428"/>
      <c r="T530" s="428"/>
      <c r="X530" s="428"/>
      <c r="Y530" s="428"/>
      <c r="Z530" s="428"/>
    </row>
    <row r="531" spans="2:26" ht="12.75">
      <c r="B531" s="426"/>
      <c r="H531" s="428"/>
      <c r="I531" s="428"/>
      <c r="J531" s="428"/>
      <c r="K531" s="428"/>
      <c r="L531" s="428"/>
      <c r="M531" s="428"/>
      <c r="N531" s="428"/>
      <c r="O531" s="428"/>
      <c r="P531" s="428"/>
      <c r="Q531" s="428"/>
      <c r="R531" s="428"/>
      <c r="T531" s="428"/>
      <c r="X531" s="428"/>
      <c r="Y531" s="428"/>
      <c r="Z531" s="428"/>
    </row>
    <row r="532" spans="2:26" ht="12.75">
      <c r="B532" s="426"/>
      <c r="H532" s="428"/>
      <c r="I532" s="428"/>
      <c r="J532" s="428"/>
      <c r="K532" s="428"/>
      <c r="L532" s="428"/>
      <c r="M532" s="428"/>
      <c r="N532" s="428"/>
      <c r="O532" s="428"/>
      <c r="P532" s="428"/>
      <c r="Q532" s="428"/>
      <c r="R532" s="428"/>
      <c r="T532" s="428"/>
      <c r="X532" s="428"/>
      <c r="Y532" s="428"/>
      <c r="Z532" s="428"/>
    </row>
    <row r="533" spans="2:26" ht="12.75">
      <c r="B533" s="426"/>
      <c r="H533" s="428"/>
      <c r="I533" s="428"/>
      <c r="J533" s="428"/>
      <c r="K533" s="428"/>
      <c r="L533" s="428"/>
      <c r="M533" s="428"/>
      <c r="N533" s="428"/>
      <c r="O533" s="428"/>
      <c r="P533" s="428"/>
      <c r="Q533" s="428"/>
      <c r="R533" s="428"/>
      <c r="T533" s="428"/>
      <c r="X533" s="428"/>
      <c r="Y533" s="428"/>
      <c r="Z533" s="428"/>
    </row>
    <row r="534" spans="2:26" ht="12.75">
      <c r="B534" s="426"/>
      <c r="H534" s="428"/>
      <c r="I534" s="428"/>
      <c r="J534" s="428"/>
      <c r="K534" s="428"/>
      <c r="L534" s="428"/>
      <c r="M534" s="428"/>
      <c r="N534" s="428"/>
      <c r="O534" s="428"/>
      <c r="P534" s="428"/>
      <c r="Q534" s="428"/>
      <c r="R534" s="428"/>
      <c r="T534" s="428"/>
      <c r="X534" s="428"/>
      <c r="Y534" s="428"/>
      <c r="Z534" s="428"/>
    </row>
    <row r="535" spans="2:26" ht="12.75">
      <c r="B535" s="426"/>
      <c r="H535" s="428"/>
      <c r="I535" s="428"/>
      <c r="J535" s="428"/>
      <c r="K535" s="428"/>
      <c r="L535" s="428"/>
      <c r="M535" s="428"/>
      <c r="N535" s="428"/>
      <c r="O535" s="428"/>
      <c r="P535" s="428"/>
      <c r="Q535" s="428"/>
      <c r="R535" s="428"/>
      <c r="T535" s="428"/>
      <c r="X535" s="428"/>
      <c r="Y535" s="428"/>
      <c r="Z535" s="428"/>
    </row>
    <row r="536" spans="2:26" ht="12.75">
      <c r="B536" s="426"/>
      <c r="H536" s="428"/>
      <c r="I536" s="428"/>
      <c r="J536" s="428"/>
      <c r="K536" s="428"/>
      <c r="L536" s="428"/>
      <c r="M536" s="428"/>
      <c r="N536" s="428"/>
      <c r="O536" s="428"/>
      <c r="P536" s="428"/>
      <c r="Q536" s="428"/>
      <c r="R536" s="428"/>
      <c r="T536" s="428"/>
      <c r="X536" s="428"/>
      <c r="Y536" s="428"/>
      <c r="Z536" s="428"/>
    </row>
    <row r="537" spans="2:26" ht="12.75">
      <c r="B537" s="426"/>
      <c r="H537" s="428"/>
      <c r="I537" s="428"/>
      <c r="J537" s="428"/>
      <c r="K537" s="428"/>
      <c r="L537" s="428"/>
      <c r="M537" s="428"/>
      <c r="N537" s="428"/>
      <c r="O537" s="428"/>
      <c r="P537" s="428"/>
      <c r="Q537" s="428"/>
      <c r="R537" s="428"/>
      <c r="T537" s="428"/>
      <c r="X537" s="428"/>
      <c r="Y537" s="428"/>
      <c r="Z537" s="428"/>
    </row>
    <row r="538" spans="2:26" ht="12.75">
      <c r="B538" s="426"/>
      <c r="H538" s="428"/>
      <c r="I538" s="428"/>
      <c r="J538" s="428"/>
      <c r="K538" s="428"/>
      <c r="L538" s="428"/>
      <c r="M538" s="428"/>
      <c r="N538" s="428"/>
      <c r="O538" s="428"/>
      <c r="P538" s="428"/>
      <c r="Q538" s="428"/>
      <c r="R538" s="428"/>
      <c r="T538" s="428"/>
      <c r="X538" s="428"/>
      <c r="Y538" s="428"/>
      <c r="Z538" s="428"/>
    </row>
    <row r="539" spans="2:26" ht="12.75">
      <c r="B539" s="426"/>
      <c r="H539" s="428"/>
      <c r="I539" s="428"/>
      <c r="J539" s="428"/>
      <c r="K539" s="428"/>
      <c r="L539" s="428"/>
      <c r="M539" s="428"/>
      <c r="N539" s="428"/>
      <c r="O539" s="428"/>
      <c r="P539" s="428"/>
      <c r="Q539" s="428"/>
      <c r="R539" s="428"/>
      <c r="T539" s="428"/>
      <c r="X539" s="428"/>
      <c r="Y539" s="428"/>
      <c r="Z539" s="428"/>
    </row>
    <row r="540" spans="2:26" ht="12.75">
      <c r="B540" s="426"/>
      <c r="H540" s="428"/>
      <c r="I540" s="428"/>
      <c r="J540" s="428"/>
      <c r="K540" s="428"/>
      <c r="L540" s="428"/>
      <c r="M540" s="428"/>
      <c r="N540" s="428"/>
      <c r="O540" s="428"/>
      <c r="P540" s="428"/>
      <c r="Q540" s="428"/>
      <c r="R540" s="428"/>
      <c r="T540" s="428"/>
      <c r="X540" s="428"/>
      <c r="Y540" s="428"/>
      <c r="Z540" s="428"/>
    </row>
    <row r="541" spans="2:26" ht="12.75">
      <c r="B541" s="426"/>
      <c r="H541" s="428"/>
      <c r="I541" s="428"/>
      <c r="J541" s="428"/>
      <c r="K541" s="428"/>
      <c r="L541" s="428"/>
      <c r="M541" s="428"/>
      <c r="N541" s="428"/>
      <c r="O541" s="428"/>
      <c r="P541" s="428"/>
      <c r="Q541" s="428"/>
      <c r="R541" s="428"/>
      <c r="T541" s="428"/>
      <c r="X541" s="428"/>
      <c r="Y541" s="428"/>
      <c r="Z541" s="428"/>
    </row>
    <row r="542" spans="2:26" ht="12.75">
      <c r="B542" s="426"/>
      <c r="H542" s="428"/>
      <c r="I542" s="428"/>
      <c r="J542" s="428"/>
      <c r="K542" s="428"/>
      <c r="L542" s="428"/>
      <c r="M542" s="428"/>
      <c r="N542" s="428"/>
      <c r="O542" s="428"/>
      <c r="P542" s="428"/>
      <c r="Q542" s="428"/>
      <c r="R542" s="428"/>
      <c r="T542" s="428"/>
      <c r="X542" s="428"/>
      <c r="Y542" s="428"/>
      <c r="Z542" s="428"/>
    </row>
    <row r="543" spans="2:26" ht="12.75">
      <c r="B543" s="426"/>
      <c r="H543" s="428"/>
      <c r="I543" s="428"/>
      <c r="J543" s="428"/>
      <c r="K543" s="428"/>
      <c r="L543" s="428"/>
      <c r="M543" s="428"/>
      <c r="N543" s="428"/>
      <c r="O543" s="428"/>
      <c r="P543" s="428"/>
      <c r="Q543" s="428"/>
      <c r="R543" s="428"/>
      <c r="T543" s="428"/>
      <c r="X543" s="428"/>
      <c r="Y543" s="428"/>
      <c r="Z543" s="428"/>
    </row>
    <row r="544" spans="2:26" ht="12.75">
      <c r="B544" s="426"/>
      <c r="H544" s="428"/>
      <c r="I544" s="428"/>
      <c r="J544" s="428"/>
      <c r="K544" s="428"/>
      <c r="L544" s="428"/>
      <c r="M544" s="428"/>
      <c r="N544" s="428"/>
      <c r="O544" s="428"/>
      <c r="P544" s="428"/>
      <c r="Q544" s="428"/>
      <c r="R544" s="428"/>
      <c r="T544" s="428"/>
      <c r="X544" s="428"/>
      <c r="Y544" s="428"/>
      <c r="Z544" s="428"/>
    </row>
    <row r="545" spans="2:26" ht="12.75">
      <c r="B545" s="426"/>
      <c r="H545" s="428"/>
      <c r="I545" s="428"/>
      <c r="J545" s="428"/>
      <c r="K545" s="428"/>
      <c r="L545" s="428"/>
      <c r="M545" s="428"/>
      <c r="N545" s="428"/>
      <c r="O545" s="428"/>
      <c r="P545" s="428"/>
      <c r="Q545" s="428"/>
      <c r="R545" s="428"/>
      <c r="T545" s="428"/>
      <c r="X545" s="428"/>
      <c r="Y545" s="428"/>
      <c r="Z545" s="428"/>
    </row>
    <row r="546" spans="2:26" ht="12.75">
      <c r="B546" s="426"/>
      <c r="H546" s="428"/>
      <c r="I546" s="428"/>
      <c r="J546" s="428"/>
      <c r="K546" s="428"/>
      <c r="L546" s="428"/>
      <c r="M546" s="428"/>
      <c r="N546" s="428"/>
      <c r="O546" s="428"/>
      <c r="P546" s="428"/>
      <c r="Q546" s="428"/>
      <c r="R546" s="428"/>
      <c r="T546" s="428"/>
      <c r="X546" s="428"/>
      <c r="Y546" s="428"/>
      <c r="Z546" s="428"/>
    </row>
    <row r="547" spans="2:26" ht="12.75">
      <c r="B547" s="426"/>
      <c r="H547" s="428"/>
      <c r="I547" s="428"/>
      <c r="J547" s="428"/>
      <c r="K547" s="428"/>
      <c r="L547" s="428"/>
      <c r="M547" s="428"/>
      <c r="N547" s="428"/>
      <c r="O547" s="428"/>
      <c r="P547" s="428"/>
      <c r="Q547" s="428"/>
      <c r="R547" s="428"/>
      <c r="T547" s="428"/>
      <c r="X547" s="428"/>
      <c r="Y547" s="428"/>
      <c r="Z547" s="428"/>
    </row>
    <row r="548" spans="2:26" ht="12.75">
      <c r="B548" s="426"/>
      <c r="H548" s="428"/>
      <c r="I548" s="428"/>
      <c r="J548" s="428"/>
      <c r="K548" s="428"/>
      <c r="L548" s="428"/>
      <c r="M548" s="428"/>
      <c r="N548" s="428"/>
      <c r="O548" s="428"/>
      <c r="P548" s="428"/>
      <c r="Q548" s="428"/>
      <c r="R548" s="428"/>
      <c r="T548" s="428"/>
      <c r="X548" s="428"/>
      <c r="Y548" s="428"/>
      <c r="Z548" s="428"/>
    </row>
    <row r="549" spans="2:26" ht="12.75">
      <c r="B549" s="426"/>
      <c r="H549" s="428"/>
      <c r="I549" s="428"/>
      <c r="J549" s="428"/>
      <c r="K549" s="428"/>
      <c r="L549" s="428"/>
      <c r="M549" s="428"/>
      <c r="N549" s="428"/>
      <c r="O549" s="428"/>
      <c r="P549" s="428"/>
      <c r="Q549" s="428"/>
      <c r="R549" s="428"/>
      <c r="T549" s="428"/>
      <c r="X549" s="428"/>
      <c r="Y549" s="428"/>
      <c r="Z549" s="428"/>
    </row>
    <row r="550" spans="2:26" ht="12.75">
      <c r="B550" s="426"/>
      <c r="H550" s="428"/>
      <c r="I550" s="428"/>
      <c r="J550" s="428"/>
      <c r="K550" s="428"/>
      <c r="L550" s="428"/>
      <c r="M550" s="428"/>
      <c r="N550" s="428"/>
      <c r="O550" s="428"/>
      <c r="P550" s="428"/>
      <c r="Q550" s="428"/>
      <c r="R550" s="428"/>
      <c r="T550" s="428"/>
      <c r="X550" s="428"/>
      <c r="Y550" s="428"/>
      <c r="Z550" s="428"/>
    </row>
    <row r="551" spans="2:26" ht="12.75">
      <c r="B551" s="426"/>
      <c r="H551" s="428"/>
      <c r="I551" s="428"/>
      <c r="J551" s="428"/>
      <c r="K551" s="428"/>
      <c r="L551" s="428"/>
      <c r="M551" s="428"/>
      <c r="N551" s="428"/>
      <c r="O551" s="428"/>
      <c r="P551" s="428"/>
      <c r="Q551" s="428"/>
      <c r="R551" s="428"/>
      <c r="T551" s="428"/>
      <c r="X551" s="428"/>
      <c r="Y551" s="428"/>
      <c r="Z551" s="428"/>
    </row>
    <row r="552" spans="2:26" ht="12.75">
      <c r="B552" s="426"/>
      <c r="H552" s="428"/>
      <c r="I552" s="428"/>
      <c r="J552" s="428"/>
      <c r="K552" s="428"/>
      <c r="L552" s="428"/>
      <c r="M552" s="428"/>
      <c r="N552" s="428"/>
      <c r="O552" s="428"/>
      <c r="P552" s="428"/>
      <c r="Q552" s="428"/>
      <c r="R552" s="428"/>
      <c r="T552" s="428"/>
      <c r="X552" s="428"/>
      <c r="Y552" s="428"/>
      <c r="Z552" s="428"/>
    </row>
    <row r="553" spans="2:26" ht="12.75">
      <c r="B553" s="426"/>
      <c r="H553" s="428"/>
      <c r="I553" s="428"/>
      <c r="J553" s="428"/>
      <c r="K553" s="428"/>
      <c r="L553" s="428"/>
      <c r="M553" s="428"/>
      <c r="N553" s="428"/>
      <c r="O553" s="428"/>
      <c r="P553" s="428"/>
      <c r="Q553" s="428"/>
      <c r="R553" s="428"/>
      <c r="T553" s="428"/>
      <c r="X553" s="428"/>
      <c r="Y553" s="428"/>
      <c r="Z553" s="428"/>
    </row>
    <row r="554" spans="2:26" ht="12.75">
      <c r="B554" s="426"/>
      <c r="H554" s="428"/>
      <c r="I554" s="428"/>
      <c r="J554" s="428"/>
      <c r="K554" s="428"/>
      <c r="L554" s="428"/>
      <c r="M554" s="428"/>
      <c r="N554" s="428"/>
      <c r="O554" s="428"/>
      <c r="P554" s="428"/>
      <c r="Q554" s="428"/>
      <c r="R554" s="428"/>
      <c r="T554" s="428"/>
      <c r="X554" s="428"/>
      <c r="Y554" s="428"/>
      <c r="Z554" s="428"/>
    </row>
    <row r="555" spans="2:26" ht="12.75">
      <c r="B555" s="426"/>
      <c r="H555" s="428"/>
      <c r="I555" s="428"/>
      <c r="J555" s="428"/>
      <c r="K555" s="428"/>
      <c r="L555" s="428"/>
      <c r="M555" s="428"/>
      <c r="N555" s="428"/>
      <c r="O555" s="428"/>
      <c r="P555" s="428"/>
      <c r="Q555" s="428"/>
      <c r="R555" s="428"/>
      <c r="T555" s="428"/>
      <c r="X555" s="428"/>
      <c r="Y555" s="428"/>
      <c r="Z555" s="428"/>
    </row>
    <row r="556" spans="2:26" ht="12.75">
      <c r="B556" s="426"/>
      <c r="H556" s="428"/>
      <c r="I556" s="428"/>
      <c r="J556" s="428"/>
      <c r="K556" s="428"/>
      <c r="L556" s="428"/>
      <c r="M556" s="428"/>
      <c r="N556" s="428"/>
      <c r="O556" s="428"/>
      <c r="P556" s="428"/>
      <c r="Q556" s="428"/>
      <c r="R556" s="428"/>
      <c r="T556" s="428"/>
      <c r="X556" s="428"/>
      <c r="Y556" s="428"/>
      <c r="Z556" s="428"/>
    </row>
    <row r="557" spans="2:26" ht="12.75">
      <c r="B557" s="426"/>
      <c r="H557" s="428"/>
      <c r="I557" s="428"/>
      <c r="J557" s="428"/>
      <c r="K557" s="428"/>
      <c r="L557" s="428"/>
      <c r="M557" s="428"/>
      <c r="N557" s="428"/>
      <c r="O557" s="428"/>
      <c r="P557" s="428"/>
      <c r="Q557" s="428"/>
      <c r="R557" s="428"/>
      <c r="T557" s="428"/>
      <c r="X557" s="428"/>
      <c r="Y557" s="428"/>
      <c r="Z557" s="428"/>
    </row>
    <row r="558" spans="2:26" ht="12.75">
      <c r="B558" s="426"/>
      <c r="H558" s="428"/>
      <c r="I558" s="428"/>
      <c r="J558" s="428"/>
      <c r="K558" s="428"/>
      <c r="L558" s="428"/>
      <c r="M558" s="428"/>
      <c r="N558" s="428"/>
      <c r="O558" s="428"/>
      <c r="P558" s="428"/>
      <c r="Q558" s="428"/>
      <c r="R558" s="428"/>
      <c r="T558" s="428"/>
      <c r="X558" s="428"/>
      <c r="Y558" s="428"/>
      <c r="Z558" s="428"/>
    </row>
    <row r="559" spans="2:26" ht="12.75">
      <c r="B559" s="426"/>
      <c r="H559" s="428"/>
      <c r="I559" s="428"/>
      <c r="J559" s="428"/>
      <c r="K559" s="428"/>
      <c r="L559" s="428"/>
      <c r="M559" s="428"/>
      <c r="N559" s="428"/>
      <c r="O559" s="428"/>
      <c r="P559" s="428"/>
      <c r="Q559" s="428"/>
      <c r="R559" s="428"/>
      <c r="T559" s="428"/>
      <c r="X559" s="428"/>
      <c r="Y559" s="428"/>
      <c r="Z559" s="428"/>
    </row>
    <row r="560" spans="2:26" ht="12.75">
      <c r="B560" s="426"/>
      <c r="H560" s="428"/>
      <c r="I560" s="428"/>
      <c r="J560" s="428"/>
      <c r="K560" s="428"/>
      <c r="L560" s="428"/>
      <c r="M560" s="428"/>
      <c r="N560" s="428"/>
      <c r="O560" s="428"/>
      <c r="P560" s="428"/>
      <c r="Q560" s="428"/>
      <c r="R560" s="428"/>
      <c r="T560" s="428"/>
      <c r="X560" s="428"/>
      <c r="Y560" s="428"/>
      <c r="Z560" s="428"/>
    </row>
    <row r="561" spans="2:26" ht="12.75">
      <c r="B561" s="426"/>
      <c r="H561" s="428"/>
      <c r="I561" s="428"/>
      <c r="J561" s="428"/>
      <c r="K561" s="428"/>
      <c r="L561" s="428"/>
      <c r="M561" s="428"/>
      <c r="N561" s="428"/>
      <c r="O561" s="428"/>
      <c r="P561" s="428"/>
      <c r="Q561" s="428"/>
      <c r="R561" s="428"/>
      <c r="T561" s="428"/>
      <c r="X561" s="428"/>
      <c r="Y561" s="428"/>
      <c r="Z561" s="428"/>
    </row>
    <row r="562" spans="2:26" ht="12.75">
      <c r="B562" s="426"/>
      <c r="H562" s="428"/>
      <c r="I562" s="428"/>
      <c r="J562" s="428"/>
      <c r="K562" s="428"/>
      <c r="L562" s="428"/>
      <c r="M562" s="428"/>
      <c r="N562" s="428"/>
      <c r="O562" s="428"/>
      <c r="P562" s="428"/>
      <c r="Q562" s="428"/>
      <c r="R562" s="428"/>
      <c r="T562" s="428"/>
      <c r="X562" s="428"/>
      <c r="Y562" s="428"/>
      <c r="Z562" s="428"/>
    </row>
    <row r="563" spans="2:26" ht="12.75">
      <c r="B563" s="426"/>
      <c r="H563" s="428"/>
      <c r="I563" s="428"/>
      <c r="J563" s="428"/>
      <c r="K563" s="428"/>
      <c r="L563" s="428"/>
      <c r="M563" s="428"/>
      <c r="N563" s="428"/>
      <c r="O563" s="428"/>
      <c r="P563" s="428"/>
      <c r="Q563" s="428"/>
      <c r="R563" s="428"/>
      <c r="T563" s="428"/>
      <c r="X563" s="428"/>
      <c r="Y563" s="428"/>
      <c r="Z563" s="428"/>
    </row>
    <row r="564" spans="2:26" ht="12.75">
      <c r="B564" s="426"/>
      <c r="H564" s="428"/>
      <c r="I564" s="428"/>
      <c r="J564" s="428"/>
      <c r="K564" s="428"/>
      <c r="L564" s="428"/>
      <c r="M564" s="428"/>
      <c r="N564" s="428"/>
      <c r="O564" s="428"/>
      <c r="P564" s="428"/>
      <c r="Q564" s="428"/>
      <c r="R564" s="428"/>
      <c r="T564" s="428"/>
      <c r="X564" s="428"/>
      <c r="Y564" s="428"/>
      <c r="Z564" s="428"/>
    </row>
    <row r="565" spans="2:26" ht="12.75">
      <c r="B565" s="426"/>
      <c r="H565" s="428"/>
      <c r="I565" s="428"/>
      <c r="J565" s="428"/>
      <c r="K565" s="428"/>
      <c r="L565" s="428"/>
      <c r="M565" s="428"/>
      <c r="N565" s="428"/>
      <c r="O565" s="428"/>
      <c r="P565" s="428"/>
      <c r="Q565" s="428"/>
      <c r="R565" s="428"/>
      <c r="T565" s="428"/>
      <c r="X565" s="428"/>
      <c r="Y565" s="428"/>
      <c r="Z565" s="428"/>
    </row>
    <row r="566" spans="2:26" ht="12.75">
      <c r="B566" s="426"/>
      <c r="H566" s="428"/>
      <c r="I566" s="428"/>
      <c r="J566" s="428"/>
      <c r="K566" s="428"/>
      <c r="L566" s="428"/>
      <c r="M566" s="428"/>
      <c r="N566" s="428"/>
      <c r="O566" s="428"/>
      <c r="P566" s="428"/>
      <c r="Q566" s="428"/>
      <c r="R566" s="428"/>
      <c r="T566" s="428"/>
      <c r="X566" s="428"/>
      <c r="Y566" s="428"/>
      <c r="Z566" s="428"/>
    </row>
    <row r="567" spans="2:26" ht="12.75">
      <c r="B567" s="426"/>
      <c r="H567" s="428"/>
      <c r="I567" s="428"/>
      <c r="J567" s="428"/>
      <c r="K567" s="428"/>
      <c r="L567" s="428"/>
      <c r="M567" s="428"/>
      <c r="N567" s="428"/>
      <c r="O567" s="428"/>
      <c r="P567" s="428"/>
      <c r="Q567" s="428"/>
      <c r="R567" s="428"/>
      <c r="T567" s="428"/>
      <c r="X567" s="428"/>
      <c r="Y567" s="428"/>
      <c r="Z567" s="428"/>
    </row>
    <row r="568" spans="2:26" ht="12.75">
      <c r="B568" s="426"/>
      <c r="H568" s="428"/>
      <c r="I568" s="428"/>
      <c r="J568" s="428"/>
      <c r="K568" s="428"/>
      <c r="L568" s="428"/>
      <c r="M568" s="428"/>
      <c r="N568" s="428"/>
      <c r="O568" s="428"/>
      <c r="P568" s="428"/>
      <c r="Q568" s="428"/>
      <c r="R568" s="428"/>
      <c r="T568" s="428"/>
      <c r="X568" s="428"/>
      <c r="Y568" s="428"/>
      <c r="Z568" s="428"/>
    </row>
    <row r="569" spans="2:26" ht="12.75">
      <c r="B569" s="426"/>
      <c r="H569" s="428"/>
      <c r="I569" s="428"/>
      <c r="J569" s="428"/>
      <c r="K569" s="428"/>
      <c r="L569" s="428"/>
      <c r="M569" s="428"/>
      <c r="N569" s="428"/>
      <c r="O569" s="428"/>
      <c r="P569" s="428"/>
      <c r="Q569" s="428"/>
      <c r="R569" s="428"/>
      <c r="T569" s="428"/>
      <c r="X569" s="428"/>
      <c r="Y569" s="428"/>
      <c r="Z569" s="428"/>
    </row>
    <row r="570" spans="2:26" ht="12.75">
      <c r="B570" s="426"/>
      <c r="H570" s="428"/>
      <c r="I570" s="428"/>
      <c r="J570" s="428"/>
      <c r="K570" s="428"/>
      <c r="L570" s="428"/>
      <c r="M570" s="428"/>
      <c r="N570" s="428"/>
      <c r="O570" s="428"/>
      <c r="P570" s="428"/>
      <c r="Q570" s="428"/>
      <c r="R570" s="428"/>
      <c r="T570" s="428"/>
      <c r="X570" s="428"/>
      <c r="Y570" s="428"/>
      <c r="Z570" s="428"/>
    </row>
    <row r="571" spans="2:26" ht="12.75">
      <c r="B571" s="426"/>
      <c r="H571" s="428"/>
      <c r="I571" s="428"/>
      <c r="J571" s="428"/>
      <c r="K571" s="428"/>
      <c r="L571" s="428"/>
      <c r="M571" s="428"/>
      <c r="N571" s="428"/>
      <c r="O571" s="428"/>
      <c r="P571" s="428"/>
      <c r="Q571" s="428"/>
      <c r="R571" s="428"/>
      <c r="T571" s="428"/>
      <c r="X571" s="428"/>
      <c r="Y571" s="428"/>
      <c r="Z571" s="428"/>
    </row>
    <row r="572" spans="2:26" ht="12.75">
      <c r="B572" s="426"/>
      <c r="H572" s="428"/>
      <c r="I572" s="428"/>
      <c r="J572" s="428"/>
      <c r="K572" s="428"/>
      <c r="L572" s="428"/>
      <c r="M572" s="428"/>
      <c r="N572" s="428"/>
      <c r="O572" s="428"/>
      <c r="P572" s="428"/>
      <c r="Q572" s="428"/>
      <c r="R572" s="428"/>
      <c r="T572" s="428"/>
      <c r="X572" s="428"/>
      <c r="Y572" s="428"/>
      <c r="Z572" s="428"/>
    </row>
    <row r="573" spans="2:26" ht="12.75">
      <c r="B573" s="426"/>
      <c r="H573" s="428"/>
      <c r="I573" s="428"/>
      <c r="J573" s="428"/>
      <c r="K573" s="428"/>
      <c r="L573" s="428"/>
      <c r="M573" s="428"/>
      <c r="N573" s="428"/>
      <c r="O573" s="428"/>
      <c r="P573" s="428"/>
      <c r="Q573" s="428"/>
      <c r="R573" s="428"/>
      <c r="T573" s="428"/>
      <c r="X573" s="428"/>
      <c r="Y573" s="428"/>
      <c r="Z573" s="428"/>
    </row>
    <row r="574" spans="2:26" ht="12.75">
      <c r="B574" s="426"/>
      <c r="H574" s="428"/>
      <c r="I574" s="428"/>
      <c r="J574" s="428"/>
      <c r="K574" s="428"/>
      <c r="L574" s="428"/>
      <c r="M574" s="428"/>
      <c r="N574" s="428"/>
      <c r="O574" s="428"/>
      <c r="P574" s="428"/>
      <c r="Q574" s="428"/>
      <c r="R574" s="428"/>
      <c r="T574" s="428"/>
      <c r="X574" s="428"/>
      <c r="Y574" s="428"/>
      <c r="Z574" s="428"/>
    </row>
    <row r="575" spans="2:26" ht="12.75">
      <c r="B575" s="426"/>
      <c r="H575" s="428"/>
      <c r="I575" s="428"/>
      <c r="J575" s="428"/>
      <c r="K575" s="428"/>
      <c r="L575" s="428"/>
      <c r="M575" s="428"/>
      <c r="N575" s="428"/>
      <c r="O575" s="428"/>
      <c r="P575" s="428"/>
      <c r="Q575" s="428"/>
      <c r="R575" s="428"/>
      <c r="T575" s="428"/>
      <c r="X575" s="428"/>
      <c r="Y575" s="428"/>
      <c r="Z575" s="428"/>
    </row>
    <row r="576" spans="2:26" ht="12.75">
      <c r="B576" s="426"/>
      <c r="H576" s="428"/>
      <c r="I576" s="428"/>
      <c r="J576" s="428"/>
      <c r="K576" s="428"/>
      <c r="L576" s="428"/>
      <c r="M576" s="428"/>
      <c r="N576" s="428"/>
      <c r="O576" s="428"/>
      <c r="P576" s="428"/>
      <c r="Q576" s="428"/>
      <c r="R576" s="428"/>
      <c r="T576" s="428"/>
      <c r="X576" s="428"/>
      <c r="Y576" s="428"/>
      <c r="Z576" s="428"/>
    </row>
    <row r="577" spans="2:26" ht="12.75">
      <c r="B577" s="426"/>
      <c r="H577" s="428"/>
      <c r="I577" s="428"/>
      <c r="J577" s="428"/>
      <c r="K577" s="428"/>
      <c r="L577" s="428"/>
      <c r="M577" s="428"/>
      <c r="N577" s="428"/>
      <c r="O577" s="428"/>
      <c r="P577" s="428"/>
      <c r="Q577" s="428"/>
      <c r="R577" s="428"/>
      <c r="T577" s="428"/>
      <c r="X577" s="428"/>
      <c r="Y577" s="428"/>
      <c r="Z577" s="428"/>
    </row>
    <row r="578" spans="2:26" ht="12.75">
      <c r="B578" s="426"/>
      <c r="H578" s="428"/>
      <c r="I578" s="428"/>
      <c r="J578" s="428"/>
      <c r="K578" s="428"/>
      <c r="L578" s="428"/>
      <c r="M578" s="428"/>
      <c r="N578" s="428"/>
      <c r="O578" s="428"/>
      <c r="P578" s="428"/>
      <c r="Q578" s="428"/>
      <c r="R578" s="428"/>
      <c r="T578" s="428"/>
      <c r="X578" s="428"/>
      <c r="Y578" s="428"/>
      <c r="Z578" s="428"/>
    </row>
    <row r="579" spans="2:26" ht="12.75">
      <c r="B579" s="426"/>
      <c r="H579" s="428"/>
      <c r="I579" s="428"/>
      <c r="J579" s="428"/>
      <c r="K579" s="428"/>
      <c r="L579" s="428"/>
      <c r="M579" s="428"/>
      <c r="N579" s="428"/>
      <c r="O579" s="428"/>
      <c r="P579" s="428"/>
      <c r="Q579" s="428"/>
      <c r="R579" s="428"/>
      <c r="T579" s="428"/>
      <c r="X579" s="428"/>
      <c r="Y579" s="428"/>
      <c r="Z579" s="428"/>
    </row>
    <row r="580" spans="2:26" ht="12.75">
      <c r="B580" s="426"/>
      <c r="H580" s="428"/>
      <c r="I580" s="428"/>
      <c r="J580" s="428"/>
      <c r="K580" s="428"/>
      <c r="L580" s="428"/>
      <c r="M580" s="428"/>
      <c r="N580" s="428"/>
      <c r="O580" s="428"/>
      <c r="P580" s="428"/>
      <c r="Q580" s="428"/>
      <c r="R580" s="428"/>
      <c r="T580" s="428"/>
      <c r="X580" s="428"/>
      <c r="Y580" s="428"/>
      <c r="Z580" s="428"/>
    </row>
    <row r="581" spans="2:26" ht="12.75">
      <c r="B581" s="426"/>
      <c r="H581" s="428"/>
      <c r="I581" s="428"/>
      <c r="J581" s="428"/>
      <c r="K581" s="428"/>
      <c r="L581" s="428"/>
      <c r="M581" s="428"/>
      <c r="N581" s="428"/>
      <c r="O581" s="428"/>
      <c r="P581" s="428"/>
      <c r="Q581" s="428"/>
      <c r="R581" s="428"/>
      <c r="T581" s="428"/>
      <c r="X581" s="428"/>
      <c r="Y581" s="428"/>
      <c r="Z581" s="428"/>
    </row>
    <row r="582" spans="2:26" ht="12.75">
      <c r="B582" s="426"/>
      <c r="H582" s="428"/>
      <c r="I582" s="428"/>
      <c r="J582" s="428"/>
      <c r="K582" s="428"/>
      <c r="L582" s="428"/>
      <c r="M582" s="428"/>
      <c r="N582" s="428"/>
      <c r="O582" s="428"/>
      <c r="P582" s="428"/>
      <c r="Q582" s="428"/>
      <c r="R582" s="428"/>
      <c r="T582" s="428"/>
      <c r="X582" s="428"/>
      <c r="Y582" s="428"/>
      <c r="Z582" s="428"/>
    </row>
    <row r="583" spans="2:26" ht="12.75">
      <c r="B583" s="426"/>
      <c r="H583" s="428"/>
      <c r="I583" s="428"/>
      <c r="J583" s="428"/>
      <c r="K583" s="428"/>
      <c r="L583" s="428"/>
      <c r="M583" s="428"/>
      <c r="N583" s="428"/>
      <c r="O583" s="428"/>
      <c r="P583" s="428"/>
      <c r="Q583" s="428"/>
      <c r="R583" s="428"/>
      <c r="T583" s="428"/>
      <c r="X583" s="428"/>
      <c r="Y583" s="428"/>
      <c r="Z583" s="428"/>
    </row>
    <row r="584" spans="2:26" ht="12.75">
      <c r="B584" s="426"/>
      <c r="H584" s="428"/>
      <c r="I584" s="428"/>
      <c r="J584" s="428"/>
      <c r="K584" s="428"/>
      <c r="L584" s="428"/>
      <c r="M584" s="428"/>
      <c r="N584" s="428"/>
      <c r="O584" s="428"/>
      <c r="P584" s="428"/>
      <c r="Q584" s="428"/>
      <c r="R584" s="428"/>
      <c r="T584" s="428"/>
      <c r="X584" s="428"/>
      <c r="Y584" s="428"/>
      <c r="Z584" s="428"/>
    </row>
    <row r="585" spans="2:26" ht="12.75">
      <c r="B585" s="426"/>
      <c r="H585" s="428"/>
      <c r="I585" s="428"/>
      <c r="J585" s="428"/>
      <c r="K585" s="428"/>
      <c r="L585" s="428"/>
      <c r="M585" s="428"/>
      <c r="N585" s="428"/>
      <c r="O585" s="428"/>
      <c r="P585" s="428"/>
      <c r="Q585" s="428"/>
      <c r="R585" s="428"/>
      <c r="T585" s="428"/>
      <c r="X585" s="428"/>
      <c r="Y585" s="428"/>
      <c r="Z585" s="428"/>
    </row>
    <row r="586" spans="2:26" ht="12.75">
      <c r="B586" s="426"/>
      <c r="H586" s="428"/>
      <c r="I586" s="428"/>
      <c r="J586" s="428"/>
      <c r="K586" s="428"/>
      <c r="L586" s="428"/>
      <c r="M586" s="428"/>
      <c r="N586" s="428"/>
      <c r="O586" s="428"/>
      <c r="P586" s="428"/>
      <c r="Q586" s="428"/>
      <c r="R586" s="428"/>
      <c r="T586" s="428"/>
      <c r="X586" s="428"/>
      <c r="Y586" s="428"/>
      <c r="Z586" s="428"/>
    </row>
    <row r="587" spans="2:26" ht="12.75">
      <c r="B587" s="426"/>
      <c r="H587" s="428"/>
      <c r="I587" s="428"/>
      <c r="J587" s="428"/>
      <c r="K587" s="428"/>
      <c r="L587" s="428"/>
      <c r="M587" s="428"/>
      <c r="N587" s="428"/>
      <c r="O587" s="428"/>
      <c r="P587" s="428"/>
      <c r="Q587" s="428"/>
      <c r="R587" s="428"/>
      <c r="T587" s="428"/>
      <c r="X587" s="428"/>
      <c r="Y587" s="428"/>
      <c r="Z587" s="428"/>
    </row>
    <row r="588" spans="2:26" ht="12.75">
      <c r="B588" s="426"/>
      <c r="H588" s="428"/>
      <c r="I588" s="428"/>
      <c r="J588" s="428"/>
      <c r="K588" s="428"/>
      <c r="L588" s="428"/>
      <c r="M588" s="428"/>
      <c r="N588" s="428"/>
      <c r="O588" s="428"/>
      <c r="P588" s="428"/>
      <c r="Q588" s="428"/>
      <c r="R588" s="428"/>
      <c r="T588" s="428"/>
      <c r="X588" s="428"/>
      <c r="Y588" s="428"/>
      <c r="Z588" s="428"/>
    </row>
    <row r="589" spans="2:26" ht="12.75">
      <c r="B589" s="426"/>
      <c r="H589" s="428"/>
      <c r="I589" s="428"/>
      <c r="J589" s="428"/>
      <c r="K589" s="428"/>
      <c r="L589" s="428"/>
      <c r="M589" s="428"/>
      <c r="N589" s="428"/>
      <c r="O589" s="428"/>
      <c r="P589" s="428"/>
      <c r="Q589" s="428"/>
      <c r="R589" s="428"/>
      <c r="T589" s="428"/>
      <c r="X589" s="428"/>
      <c r="Y589" s="428"/>
      <c r="Z589" s="428"/>
    </row>
    <row r="590" spans="2:26" ht="12.75">
      <c r="B590" s="426"/>
      <c r="H590" s="428"/>
      <c r="I590" s="428"/>
      <c r="J590" s="428"/>
      <c r="K590" s="428"/>
      <c r="L590" s="428"/>
      <c r="M590" s="428"/>
      <c r="N590" s="428"/>
      <c r="O590" s="428"/>
      <c r="P590" s="428"/>
      <c r="Q590" s="428"/>
      <c r="R590" s="428"/>
      <c r="T590" s="428"/>
      <c r="X590" s="428"/>
      <c r="Y590" s="428"/>
      <c r="Z590" s="428"/>
    </row>
    <row r="591" spans="2:26" ht="12.75">
      <c r="B591" s="426"/>
      <c r="H591" s="428"/>
      <c r="I591" s="428"/>
      <c r="J591" s="428"/>
      <c r="K591" s="428"/>
      <c r="L591" s="428"/>
      <c r="M591" s="428"/>
      <c r="N591" s="428"/>
      <c r="O591" s="428"/>
      <c r="P591" s="428"/>
      <c r="Q591" s="428"/>
      <c r="R591" s="428"/>
      <c r="T591" s="428"/>
      <c r="X591" s="428"/>
      <c r="Y591" s="428"/>
      <c r="Z591" s="428"/>
    </row>
    <row r="592" spans="2:26" ht="12.75">
      <c r="B592" s="426"/>
      <c r="H592" s="428"/>
      <c r="I592" s="428"/>
      <c r="J592" s="428"/>
      <c r="K592" s="428"/>
      <c r="L592" s="428"/>
      <c r="M592" s="428"/>
      <c r="N592" s="428"/>
      <c r="O592" s="428"/>
      <c r="P592" s="428"/>
      <c r="Q592" s="428"/>
      <c r="R592" s="428"/>
      <c r="T592" s="428"/>
      <c r="X592" s="428"/>
      <c r="Y592" s="428"/>
      <c r="Z592" s="428"/>
    </row>
    <row r="593" spans="2:26" ht="12.75">
      <c r="B593" s="426"/>
      <c r="H593" s="428"/>
      <c r="I593" s="428"/>
      <c r="J593" s="428"/>
      <c r="K593" s="428"/>
      <c r="L593" s="428"/>
      <c r="M593" s="428"/>
      <c r="N593" s="428"/>
      <c r="O593" s="428"/>
      <c r="P593" s="428"/>
      <c r="Q593" s="428"/>
      <c r="R593" s="428"/>
      <c r="T593" s="428"/>
      <c r="X593" s="428"/>
      <c r="Y593" s="428"/>
      <c r="Z593" s="428"/>
    </row>
    <row r="594" spans="2:26" ht="12.75">
      <c r="B594" s="426"/>
      <c r="H594" s="428"/>
      <c r="I594" s="428"/>
      <c r="J594" s="428"/>
      <c r="K594" s="428"/>
      <c r="L594" s="428"/>
      <c r="M594" s="428"/>
      <c r="N594" s="428"/>
      <c r="O594" s="428"/>
      <c r="P594" s="428"/>
      <c r="Q594" s="428"/>
      <c r="R594" s="428"/>
      <c r="T594" s="428"/>
      <c r="X594" s="428"/>
      <c r="Y594" s="428"/>
      <c r="Z594" s="428"/>
    </row>
    <row r="595" spans="2:26" ht="12.75">
      <c r="B595" s="426"/>
      <c r="H595" s="428"/>
      <c r="I595" s="428"/>
      <c r="J595" s="428"/>
      <c r="K595" s="428"/>
      <c r="L595" s="428"/>
      <c r="M595" s="428"/>
      <c r="N595" s="428"/>
      <c r="O595" s="428"/>
      <c r="P595" s="428"/>
      <c r="Q595" s="428"/>
      <c r="R595" s="428"/>
      <c r="T595" s="428"/>
      <c r="X595" s="428"/>
      <c r="Y595" s="428"/>
      <c r="Z595" s="428"/>
    </row>
    <row r="596" spans="2:26" ht="12.75">
      <c r="B596" s="426"/>
      <c r="H596" s="428"/>
      <c r="I596" s="428"/>
      <c r="J596" s="428"/>
      <c r="K596" s="428"/>
      <c r="L596" s="428"/>
      <c r="M596" s="428"/>
      <c r="N596" s="428"/>
      <c r="O596" s="428"/>
      <c r="P596" s="428"/>
      <c r="Q596" s="428"/>
      <c r="R596" s="428"/>
      <c r="T596" s="428"/>
      <c r="X596" s="428"/>
      <c r="Y596" s="428"/>
      <c r="Z596" s="428"/>
    </row>
    <row r="597" spans="2:26" ht="12.75">
      <c r="B597" s="426"/>
      <c r="H597" s="428"/>
      <c r="I597" s="428"/>
      <c r="J597" s="428"/>
      <c r="K597" s="428"/>
      <c r="L597" s="428"/>
      <c r="M597" s="428"/>
      <c r="N597" s="428"/>
      <c r="O597" s="428"/>
      <c r="P597" s="428"/>
      <c r="Q597" s="428"/>
      <c r="R597" s="428"/>
      <c r="T597" s="428"/>
      <c r="X597" s="428"/>
      <c r="Y597" s="428"/>
      <c r="Z597" s="428"/>
    </row>
    <row r="598" spans="2:26" ht="12.75">
      <c r="B598" s="426"/>
      <c r="H598" s="428"/>
      <c r="I598" s="428"/>
      <c r="J598" s="428"/>
      <c r="K598" s="428"/>
      <c r="L598" s="428"/>
      <c r="M598" s="428"/>
      <c r="N598" s="428"/>
      <c r="O598" s="428"/>
      <c r="P598" s="428"/>
      <c r="Q598" s="428"/>
      <c r="R598" s="428"/>
      <c r="T598" s="428"/>
      <c r="X598" s="428"/>
      <c r="Y598" s="428"/>
      <c r="Z598" s="428"/>
    </row>
    <row r="599" spans="2:26" ht="12.75">
      <c r="B599" s="426"/>
      <c r="H599" s="428"/>
      <c r="I599" s="428"/>
      <c r="J599" s="428"/>
      <c r="K599" s="428"/>
      <c r="L599" s="428"/>
      <c r="M599" s="428"/>
      <c r="N599" s="428"/>
      <c r="O599" s="428"/>
      <c r="P599" s="428"/>
      <c r="Q599" s="428"/>
      <c r="R599" s="428"/>
      <c r="T599" s="428"/>
      <c r="X599" s="428"/>
      <c r="Y599" s="428"/>
      <c r="Z599" s="428"/>
    </row>
    <row r="600" spans="2:26" ht="12.75">
      <c r="B600" s="426"/>
      <c r="H600" s="428"/>
      <c r="I600" s="428"/>
      <c r="J600" s="428"/>
      <c r="K600" s="428"/>
      <c r="L600" s="428"/>
      <c r="M600" s="428"/>
      <c r="N600" s="428"/>
      <c r="O600" s="428"/>
      <c r="P600" s="428"/>
      <c r="Q600" s="428"/>
      <c r="R600" s="428"/>
      <c r="T600" s="428"/>
      <c r="X600" s="428"/>
      <c r="Y600" s="428"/>
      <c r="Z600" s="428"/>
    </row>
    <row r="601" spans="2:26" ht="12.75">
      <c r="B601" s="426"/>
      <c r="H601" s="428"/>
      <c r="I601" s="428"/>
      <c r="J601" s="428"/>
      <c r="K601" s="428"/>
      <c r="L601" s="428"/>
      <c r="M601" s="428"/>
      <c r="N601" s="428"/>
      <c r="O601" s="428"/>
      <c r="P601" s="428"/>
      <c r="Q601" s="428"/>
      <c r="R601" s="428"/>
      <c r="T601" s="428"/>
      <c r="X601" s="428"/>
      <c r="Y601" s="428"/>
      <c r="Z601" s="428"/>
    </row>
    <row r="602" spans="2:26" ht="12.75">
      <c r="B602" s="426"/>
      <c r="H602" s="428"/>
      <c r="I602" s="428"/>
      <c r="J602" s="428"/>
      <c r="K602" s="428"/>
      <c r="L602" s="428"/>
      <c r="M602" s="428"/>
      <c r="N602" s="428"/>
      <c r="O602" s="428"/>
      <c r="P602" s="428"/>
      <c r="Q602" s="428"/>
      <c r="R602" s="428"/>
      <c r="T602" s="428"/>
      <c r="X602" s="428"/>
      <c r="Y602" s="428"/>
      <c r="Z602" s="428"/>
    </row>
    <row r="603" spans="2:26" ht="12.75">
      <c r="B603" s="426"/>
      <c r="H603" s="428"/>
      <c r="I603" s="428"/>
      <c r="J603" s="428"/>
      <c r="K603" s="428"/>
      <c r="L603" s="428"/>
      <c r="M603" s="428"/>
      <c r="N603" s="428"/>
      <c r="O603" s="428"/>
      <c r="P603" s="428"/>
      <c r="Q603" s="428"/>
      <c r="R603" s="428"/>
      <c r="T603" s="428"/>
      <c r="X603" s="428"/>
      <c r="Y603" s="428"/>
      <c r="Z603" s="428"/>
    </row>
    <row r="604" spans="2:26" ht="12.75">
      <c r="B604" s="426"/>
      <c r="H604" s="428"/>
      <c r="I604" s="428"/>
      <c r="J604" s="428"/>
      <c r="K604" s="428"/>
      <c r="L604" s="428"/>
      <c r="M604" s="428"/>
      <c r="N604" s="428"/>
      <c r="O604" s="428"/>
      <c r="P604" s="428"/>
      <c r="Q604" s="428"/>
      <c r="R604" s="428"/>
      <c r="T604" s="428"/>
      <c r="X604" s="428"/>
      <c r="Y604" s="428"/>
      <c r="Z604" s="428"/>
    </row>
    <row r="605" spans="2:26" ht="12.75">
      <c r="B605" s="426"/>
      <c r="H605" s="428"/>
      <c r="I605" s="428"/>
      <c r="J605" s="428"/>
      <c r="K605" s="428"/>
      <c r="L605" s="428"/>
      <c r="M605" s="428"/>
      <c r="N605" s="428"/>
      <c r="O605" s="428"/>
      <c r="P605" s="428"/>
      <c r="Q605" s="428"/>
      <c r="R605" s="428"/>
      <c r="T605" s="428"/>
      <c r="X605" s="428"/>
      <c r="Y605" s="428"/>
      <c r="Z605" s="428"/>
    </row>
    <row r="606" spans="2:26" ht="12.75">
      <c r="B606" s="426"/>
      <c r="H606" s="428"/>
      <c r="I606" s="428"/>
      <c r="J606" s="428"/>
      <c r="K606" s="428"/>
      <c r="L606" s="428"/>
      <c r="M606" s="428"/>
      <c r="N606" s="428"/>
      <c r="O606" s="428"/>
      <c r="P606" s="428"/>
      <c r="Q606" s="428"/>
      <c r="R606" s="428"/>
      <c r="T606" s="428"/>
      <c r="X606" s="428"/>
      <c r="Y606" s="428"/>
      <c r="Z606" s="428"/>
    </row>
    <row r="607" spans="2:26" ht="12.75">
      <c r="B607" s="426"/>
      <c r="H607" s="428"/>
      <c r="I607" s="428"/>
      <c r="J607" s="428"/>
      <c r="K607" s="428"/>
      <c r="L607" s="428"/>
      <c r="M607" s="428"/>
      <c r="N607" s="428"/>
      <c r="O607" s="428"/>
      <c r="P607" s="428"/>
      <c r="Q607" s="428"/>
      <c r="R607" s="428"/>
      <c r="T607" s="428"/>
      <c r="X607" s="428"/>
      <c r="Y607" s="428"/>
      <c r="Z607" s="428"/>
    </row>
    <row r="608" spans="2:26" ht="12.75">
      <c r="B608" s="426"/>
      <c r="H608" s="428"/>
      <c r="I608" s="428"/>
      <c r="J608" s="428"/>
      <c r="K608" s="428"/>
      <c r="L608" s="428"/>
      <c r="M608" s="428"/>
      <c r="N608" s="428"/>
      <c r="O608" s="428"/>
      <c r="P608" s="428"/>
      <c r="Q608" s="428"/>
      <c r="R608" s="428"/>
      <c r="T608" s="428"/>
      <c r="X608" s="428"/>
      <c r="Y608" s="428"/>
      <c r="Z608" s="428"/>
    </row>
    <row r="609" spans="2:26" ht="12.75">
      <c r="B609" s="426"/>
      <c r="H609" s="428"/>
      <c r="I609" s="428"/>
      <c r="J609" s="428"/>
      <c r="K609" s="428"/>
      <c r="L609" s="428"/>
      <c r="M609" s="428"/>
      <c r="N609" s="428"/>
      <c r="O609" s="428"/>
      <c r="P609" s="428"/>
      <c r="Q609" s="428"/>
      <c r="R609" s="428"/>
      <c r="T609" s="428"/>
      <c r="X609" s="428"/>
      <c r="Y609" s="428"/>
      <c r="Z609" s="428"/>
    </row>
    <row r="610" spans="2:26" ht="12.75">
      <c r="B610" s="426"/>
      <c r="H610" s="428"/>
      <c r="I610" s="428"/>
      <c r="J610" s="428"/>
      <c r="K610" s="428"/>
      <c r="L610" s="428"/>
      <c r="M610" s="428"/>
      <c r="N610" s="428"/>
      <c r="O610" s="428"/>
      <c r="P610" s="428"/>
      <c r="Q610" s="428"/>
      <c r="R610" s="428"/>
      <c r="T610" s="428"/>
      <c r="X610" s="428"/>
      <c r="Y610" s="428"/>
      <c r="Z610" s="428"/>
    </row>
    <row r="611" spans="2:26" ht="12.75">
      <c r="B611" s="426"/>
      <c r="H611" s="428"/>
      <c r="I611" s="428"/>
      <c r="J611" s="428"/>
      <c r="K611" s="428"/>
      <c r="L611" s="428"/>
      <c r="M611" s="428"/>
      <c r="N611" s="428"/>
      <c r="O611" s="428"/>
      <c r="P611" s="428"/>
      <c r="Q611" s="428"/>
      <c r="R611" s="428"/>
      <c r="T611" s="428"/>
      <c r="X611" s="428"/>
      <c r="Y611" s="428"/>
      <c r="Z611" s="428"/>
    </row>
    <row r="612" spans="2:26" ht="12.75">
      <c r="B612" s="426"/>
      <c r="H612" s="428"/>
      <c r="I612" s="428"/>
      <c r="J612" s="428"/>
      <c r="K612" s="428"/>
      <c r="L612" s="428"/>
      <c r="M612" s="428"/>
      <c r="N612" s="428"/>
      <c r="O612" s="428"/>
      <c r="P612" s="428"/>
      <c r="Q612" s="428"/>
      <c r="R612" s="428"/>
      <c r="T612" s="428"/>
      <c r="X612" s="428"/>
      <c r="Y612" s="428"/>
      <c r="Z612" s="428"/>
    </row>
    <row r="613" spans="2:26" ht="12.75">
      <c r="B613" s="426"/>
      <c r="H613" s="428"/>
      <c r="I613" s="428"/>
      <c r="J613" s="428"/>
      <c r="K613" s="428"/>
      <c r="L613" s="428"/>
      <c r="M613" s="428"/>
      <c r="N613" s="428"/>
      <c r="O613" s="428"/>
      <c r="P613" s="428"/>
      <c r="Q613" s="428"/>
      <c r="R613" s="428"/>
      <c r="T613" s="428"/>
      <c r="X613" s="428"/>
      <c r="Y613" s="428"/>
      <c r="Z613" s="428"/>
    </row>
    <row r="614" spans="2:26" ht="12.75">
      <c r="B614" s="426"/>
      <c r="H614" s="428"/>
      <c r="I614" s="428"/>
      <c r="J614" s="428"/>
      <c r="K614" s="428"/>
      <c r="L614" s="428"/>
      <c r="M614" s="428"/>
      <c r="N614" s="428"/>
      <c r="O614" s="428"/>
      <c r="P614" s="428"/>
      <c r="Q614" s="428"/>
      <c r="R614" s="428"/>
      <c r="T614" s="428"/>
      <c r="X614" s="428"/>
      <c r="Y614" s="428"/>
      <c r="Z614" s="428"/>
    </row>
    <row r="615" spans="2:26" ht="12.75">
      <c r="B615" s="426"/>
      <c r="H615" s="428"/>
      <c r="I615" s="428"/>
      <c r="J615" s="428"/>
      <c r="K615" s="428"/>
      <c r="L615" s="428"/>
      <c r="M615" s="428"/>
      <c r="N615" s="428"/>
      <c r="O615" s="428"/>
      <c r="P615" s="428"/>
      <c r="Q615" s="428"/>
      <c r="R615" s="428"/>
      <c r="T615" s="428"/>
      <c r="X615" s="428"/>
      <c r="Y615" s="428"/>
      <c r="Z615" s="428"/>
    </row>
    <row r="616" spans="2:26" ht="12.75">
      <c r="B616" s="426"/>
      <c r="H616" s="428"/>
      <c r="I616" s="428"/>
      <c r="J616" s="428"/>
      <c r="K616" s="428"/>
      <c r="L616" s="428"/>
      <c r="M616" s="428"/>
      <c r="N616" s="428"/>
      <c r="O616" s="428"/>
      <c r="P616" s="428"/>
      <c r="Q616" s="428"/>
      <c r="R616" s="428"/>
      <c r="T616" s="428"/>
      <c r="X616" s="428"/>
      <c r="Y616" s="428"/>
      <c r="Z616" s="428"/>
    </row>
    <row r="617" spans="2:26" ht="12.75">
      <c r="B617" s="426"/>
      <c r="H617" s="428"/>
      <c r="I617" s="428"/>
      <c r="J617" s="428"/>
      <c r="K617" s="428"/>
      <c r="L617" s="428"/>
      <c r="M617" s="428"/>
      <c r="N617" s="428"/>
      <c r="O617" s="428"/>
      <c r="P617" s="428"/>
      <c r="Q617" s="428"/>
      <c r="R617" s="428"/>
      <c r="T617" s="428"/>
      <c r="X617" s="428"/>
      <c r="Y617" s="428"/>
      <c r="Z617" s="428"/>
    </row>
    <row r="618" spans="2:26" ht="12.75">
      <c r="B618" s="426"/>
      <c r="H618" s="428"/>
      <c r="I618" s="428"/>
      <c r="J618" s="428"/>
      <c r="K618" s="428"/>
      <c r="L618" s="428"/>
      <c r="M618" s="428"/>
      <c r="N618" s="428"/>
      <c r="O618" s="428"/>
      <c r="P618" s="428"/>
      <c r="Q618" s="428"/>
      <c r="R618" s="428"/>
      <c r="T618" s="428"/>
      <c r="X618" s="428"/>
      <c r="Y618" s="428"/>
      <c r="Z618" s="428"/>
    </row>
    <row r="619" spans="2:26" ht="12.75">
      <c r="B619" s="426"/>
      <c r="H619" s="428"/>
      <c r="I619" s="428"/>
      <c r="J619" s="428"/>
      <c r="K619" s="428"/>
      <c r="L619" s="428"/>
      <c r="M619" s="428"/>
      <c r="N619" s="428"/>
      <c r="O619" s="428"/>
      <c r="P619" s="428"/>
      <c r="Q619" s="428"/>
      <c r="R619" s="428"/>
      <c r="T619" s="428"/>
      <c r="X619" s="428"/>
      <c r="Y619" s="428"/>
      <c r="Z619" s="428"/>
    </row>
    <row r="620" spans="2:26" ht="12.75">
      <c r="B620" s="426"/>
      <c r="H620" s="428"/>
      <c r="I620" s="428"/>
      <c r="J620" s="428"/>
      <c r="K620" s="428"/>
      <c r="L620" s="428"/>
      <c r="M620" s="428"/>
      <c r="N620" s="428"/>
      <c r="O620" s="428"/>
      <c r="P620" s="428"/>
      <c r="Q620" s="428"/>
      <c r="R620" s="428"/>
      <c r="T620" s="428"/>
      <c r="X620" s="428"/>
      <c r="Y620" s="428"/>
      <c r="Z620" s="428"/>
    </row>
    <row r="621" spans="2:26" ht="12.75">
      <c r="B621" s="426"/>
      <c r="H621" s="428"/>
      <c r="I621" s="428"/>
      <c r="J621" s="428"/>
      <c r="K621" s="428"/>
      <c r="L621" s="428"/>
      <c r="M621" s="428"/>
      <c r="N621" s="428"/>
      <c r="O621" s="428"/>
      <c r="P621" s="428"/>
      <c r="Q621" s="428"/>
      <c r="R621" s="428"/>
      <c r="T621" s="428"/>
      <c r="X621" s="428"/>
      <c r="Y621" s="428"/>
      <c r="Z621" s="428"/>
    </row>
    <row r="622" spans="2:26" ht="12.75">
      <c r="B622" s="426"/>
      <c r="H622" s="428"/>
      <c r="I622" s="428"/>
      <c r="J622" s="428"/>
      <c r="K622" s="428"/>
      <c r="L622" s="428"/>
      <c r="M622" s="428"/>
      <c r="N622" s="428"/>
      <c r="O622" s="428"/>
      <c r="P622" s="428"/>
      <c r="Q622" s="428"/>
      <c r="R622" s="428"/>
      <c r="T622" s="428"/>
      <c r="X622" s="428"/>
      <c r="Y622" s="428"/>
      <c r="Z622" s="428"/>
    </row>
    <row r="623" spans="2:26" ht="12.75">
      <c r="B623" s="426"/>
      <c r="H623" s="428"/>
      <c r="I623" s="428"/>
      <c r="J623" s="428"/>
      <c r="K623" s="428"/>
      <c r="L623" s="428"/>
      <c r="M623" s="428"/>
      <c r="N623" s="428"/>
      <c r="O623" s="428"/>
      <c r="P623" s="428"/>
      <c r="Q623" s="428"/>
      <c r="R623" s="428"/>
      <c r="T623" s="428"/>
      <c r="X623" s="428"/>
      <c r="Y623" s="428"/>
      <c r="Z623" s="428"/>
    </row>
    <row r="624" spans="2:26" ht="12.75">
      <c r="B624" s="426"/>
      <c r="H624" s="428"/>
      <c r="I624" s="428"/>
      <c r="J624" s="428"/>
      <c r="K624" s="428"/>
      <c r="L624" s="428"/>
      <c r="M624" s="428"/>
      <c r="N624" s="428"/>
      <c r="O624" s="428"/>
      <c r="P624" s="428"/>
      <c r="Q624" s="428"/>
      <c r="R624" s="428"/>
      <c r="T624" s="428"/>
      <c r="X624" s="428"/>
      <c r="Y624" s="428"/>
      <c r="Z624" s="428"/>
    </row>
    <row r="625" spans="2:26" ht="12.75">
      <c r="B625" s="426"/>
      <c r="H625" s="428"/>
      <c r="I625" s="428"/>
      <c r="J625" s="428"/>
      <c r="K625" s="428"/>
      <c r="L625" s="428"/>
      <c r="M625" s="428"/>
      <c r="N625" s="428"/>
      <c r="O625" s="428"/>
      <c r="P625" s="428"/>
      <c r="Q625" s="428"/>
      <c r="R625" s="428"/>
      <c r="T625" s="428"/>
      <c r="X625" s="428"/>
      <c r="Y625" s="428"/>
      <c r="Z625" s="428"/>
    </row>
    <row r="626" spans="2:26" ht="12.75">
      <c r="B626" s="426"/>
      <c r="H626" s="428"/>
      <c r="I626" s="428"/>
      <c r="J626" s="428"/>
      <c r="K626" s="428"/>
      <c r="L626" s="428"/>
      <c r="M626" s="428"/>
      <c r="N626" s="428"/>
      <c r="O626" s="428"/>
      <c r="P626" s="428"/>
      <c r="Q626" s="428"/>
      <c r="R626" s="428"/>
      <c r="T626" s="428"/>
      <c r="X626" s="428"/>
      <c r="Y626" s="428"/>
      <c r="Z626" s="428"/>
    </row>
    <row r="627" spans="2:26" ht="12.75">
      <c r="B627" s="426"/>
      <c r="H627" s="428"/>
      <c r="I627" s="428"/>
      <c r="J627" s="428"/>
      <c r="K627" s="428"/>
      <c r="L627" s="428"/>
      <c r="M627" s="428"/>
      <c r="N627" s="428"/>
      <c r="O627" s="428"/>
      <c r="P627" s="428"/>
      <c r="Q627" s="428"/>
      <c r="R627" s="428"/>
      <c r="T627" s="428"/>
      <c r="X627" s="428"/>
      <c r="Y627" s="428"/>
      <c r="Z627" s="428"/>
    </row>
    <row r="628" spans="2:26" ht="12.75">
      <c r="B628" s="426"/>
      <c r="H628" s="428"/>
      <c r="I628" s="428"/>
      <c r="J628" s="428"/>
      <c r="K628" s="428"/>
      <c r="L628" s="428"/>
      <c r="M628" s="428"/>
      <c r="N628" s="428"/>
      <c r="O628" s="428"/>
      <c r="P628" s="428"/>
      <c r="Q628" s="428"/>
      <c r="R628" s="428"/>
      <c r="T628" s="428"/>
      <c r="X628" s="428"/>
      <c r="Y628" s="428"/>
      <c r="Z628" s="428"/>
    </row>
    <row r="629" spans="2:26" ht="12.75">
      <c r="B629" s="426"/>
      <c r="H629" s="428"/>
      <c r="I629" s="428"/>
      <c r="J629" s="428"/>
      <c r="K629" s="428"/>
      <c r="L629" s="428"/>
      <c r="M629" s="428"/>
      <c r="N629" s="428"/>
      <c r="O629" s="428"/>
      <c r="P629" s="428"/>
      <c r="Q629" s="428"/>
      <c r="R629" s="428"/>
      <c r="T629" s="428"/>
      <c r="X629" s="428"/>
      <c r="Y629" s="428"/>
      <c r="Z629" s="428"/>
    </row>
    <row r="630" spans="2:26" ht="12.75">
      <c r="B630" s="426"/>
      <c r="H630" s="428"/>
      <c r="I630" s="428"/>
      <c r="J630" s="428"/>
      <c r="K630" s="428"/>
      <c r="L630" s="428"/>
      <c r="M630" s="428"/>
      <c r="N630" s="428"/>
      <c r="O630" s="428"/>
      <c r="P630" s="428"/>
      <c r="Q630" s="428"/>
      <c r="R630" s="428"/>
      <c r="T630" s="428"/>
      <c r="X630" s="428"/>
      <c r="Y630" s="428"/>
      <c r="Z630" s="428"/>
    </row>
    <row r="631" spans="2:26" ht="12.75">
      <c r="B631" s="426"/>
      <c r="H631" s="428"/>
      <c r="I631" s="428"/>
      <c r="J631" s="428"/>
      <c r="K631" s="428"/>
      <c r="L631" s="428"/>
      <c r="M631" s="428"/>
      <c r="N631" s="428"/>
      <c r="O631" s="428"/>
      <c r="P631" s="428"/>
      <c r="Q631" s="428"/>
      <c r="R631" s="428"/>
      <c r="T631" s="428"/>
      <c r="X631" s="428"/>
      <c r="Y631" s="428"/>
      <c r="Z631" s="428"/>
    </row>
    <row r="632" spans="2:26" ht="12.75">
      <c r="B632" s="426"/>
      <c r="H632" s="428"/>
      <c r="I632" s="428"/>
      <c r="J632" s="428"/>
      <c r="K632" s="428"/>
      <c r="L632" s="428"/>
      <c r="M632" s="428"/>
      <c r="N632" s="428"/>
      <c r="O632" s="428"/>
      <c r="P632" s="428"/>
      <c r="Q632" s="428"/>
      <c r="R632" s="428"/>
      <c r="T632" s="428"/>
      <c r="X632" s="428"/>
      <c r="Y632" s="428"/>
      <c r="Z632" s="428"/>
    </row>
    <row r="633" spans="2:26" ht="12.75">
      <c r="B633" s="426"/>
      <c r="H633" s="428"/>
      <c r="I633" s="428"/>
      <c r="J633" s="428"/>
      <c r="K633" s="428"/>
      <c r="L633" s="428"/>
      <c r="M633" s="428"/>
      <c r="N633" s="428"/>
      <c r="O633" s="428"/>
      <c r="P633" s="428"/>
      <c r="Q633" s="428"/>
      <c r="R633" s="428"/>
      <c r="T633" s="428"/>
      <c r="X633" s="428"/>
      <c r="Y633" s="428"/>
      <c r="Z633" s="428"/>
    </row>
    <row r="634" spans="2:26" ht="12.75">
      <c r="B634" s="426"/>
      <c r="H634" s="428"/>
      <c r="I634" s="428"/>
      <c r="J634" s="428"/>
      <c r="K634" s="428"/>
      <c r="L634" s="428"/>
      <c r="M634" s="428"/>
      <c r="N634" s="428"/>
      <c r="O634" s="428"/>
      <c r="P634" s="428"/>
      <c r="Q634" s="428"/>
      <c r="R634" s="428"/>
      <c r="T634" s="428"/>
      <c r="X634" s="428"/>
      <c r="Y634" s="428"/>
      <c r="Z634" s="428"/>
    </row>
    <row r="635" spans="2:26" ht="12.75">
      <c r="B635" s="426"/>
      <c r="H635" s="428"/>
      <c r="I635" s="428"/>
      <c r="J635" s="428"/>
      <c r="K635" s="428"/>
      <c r="L635" s="428"/>
      <c r="M635" s="428"/>
      <c r="N635" s="428"/>
      <c r="O635" s="428"/>
      <c r="P635" s="428"/>
      <c r="Q635" s="428"/>
      <c r="R635" s="428"/>
      <c r="T635" s="428"/>
      <c r="X635" s="428"/>
      <c r="Y635" s="428"/>
      <c r="Z635" s="428"/>
    </row>
    <row r="636" spans="2:26" ht="12.75">
      <c r="B636" s="426"/>
      <c r="H636" s="428"/>
      <c r="I636" s="428"/>
      <c r="J636" s="428"/>
      <c r="K636" s="428"/>
      <c r="L636" s="428"/>
      <c r="M636" s="428"/>
      <c r="N636" s="428"/>
      <c r="O636" s="428"/>
      <c r="P636" s="428"/>
      <c r="Q636" s="428"/>
      <c r="R636" s="428"/>
      <c r="T636" s="428"/>
      <c r="X636" s="428"/>
      <c r="Y636" s="428"/>
      <c r="Z636" s="428"/>
    </row>
    <row r="637" spans="2:26" ht="12.75">
      <c r="B637" s="426"/>
      <c r="H637" s="428"/>
      <c r="I637" s="428"/>
      <c r="J637" s="428"/>
      <c r="K637" s="428"/>
      <c r="L637" s="428"/>
      <c r="M637" s="428"/>
      <c r="N637" s="428"/>
      <c r="O637" s="428"/>
      <c r="P637" s="428"/>
      <c r="Q637" s="428"/>
      <c r="R637" s="428"/>
      <c r="T637" s="428"/>
      <c r="X637" s="428"/>
      <c r="Y637" s="428"/>
      <c r="Z637" s="428"/>
    </row>
    <row r="638" spans="2:26" ht="12.75">
      <c r="B638" s="426"/>
      <c r="H638" s="428"/>
      <c r="I638" s="428"/>
      <c r="J638" s="428"/>
      <c r="K638" s="428"/>
      <c r="L638" s="428"/>
      <c r="M638" s="428"/>
      <c r="N638" s="428"/>
      <c r="O638" s="428"/>
      <c r="P638" s="428"/>
      <c r="Q638" s="428"/>
      <c r="R638" s="428"/>
      <c r="T638" s="428"/>
      <c r="X638" s="428"/>
      <c r="Y638" s="428"/>
      <c r="Z638" s="428"/>
    </row>
    <row r="639" spans="2:26" ht="12.75">
      <c r="B639" s="426"/>
      <c r="H639" s="428"/>
      <c r="I639" s="428"/>
      <c r="J639" s="428"/>
      <c r="K639" s="428"/>
      <c r="L639" s="428"/>
      <c r="M639" s="428"/>
      <c r="N639" s="428"/>
      <c r="O639" s="428"/>
      <c r="P639" s="428"/>
      <c r="Q639" s="428"/>
      <c r="R639" s="428"/>
      <c r="T639" s="428"/>
      <c r="X639" s="428"/>
      <c r="Y639" s="428"/>
      <c r="Z639" s="428"/>
    </row>
    <row r="640" spans="2:26" ht="12.75">
      <c r="B640" s="426"/>
      <c r="H640" s="428"/>
      <c r="I640" s="428"/>
      <c r="J640" s="428"/>
      <c r="K640" s="428"/>
      <c r="L640" s="428"/>
      <c r="M640" s="428"/>
      <c r="N640" s="428"/>
      <c r="O640" s="428"/>
      <c r="P640" s="428"/>
      <c r="Q640" s="428"/>
      <c r="R640" s="428"/>
      <c r="T640" s="428"/>
      <c r="X640" s="428"/>
      <c r="Y640" s="428"/>
      <c r="Z640" s="428"/>
    </row>
    <row r="641" spans="2:26" ht="12.75">
      <c r="B641" s="426"/>
      <c r="H641" s="428"/>
      <c r="I641" s="428"/>
      <c r="J641" s="428"/>
      <c r="K641" s="428"/>
      <c r="L641" s="428"/>
      <c r="M641" s="428"/>
      <c r="N641" s="428"/>
      <c r="O641" s="428"/>
      <c r="P641" s="428"/>
      <c r="Q641" s="428"/>
      <c r="R641" s="428"/>
      <c r="T641" s="428"/>
      <c r="X641" s="428"/>
      <c r="Y641" s="428"/>
      <c r="Z641" s="428"/>
    </row>
    <row r="642" spans="2:26" ht="12.75">
      <c r="B642" s="426"/>
      <c r="H642" s="428"/>
      <c r="I642" s="428"/>
      <c r="J642" s="428"/>
      <c r="K642" s="428"/>
      <c r="L642" s="428"/>
      <c r="M642" s="428"/>
      <c r="N642" s="428"/>
      <c r="O642" s="428"/>
      <c r="P642" s="428"/>
      <c r="Q642" s="428"/>
      <c r="R642" s="428"/>
      <c r="T642" s="428"/>
      <c r="X642" s="428"/>
      <c r="Y642" s="428"/>
      <c r="Z642" s="428"/>
    </row>
    <row r="643" spans="2:26" ht="12.75">
      <c r="B643" s="426"/>
      <c r="H643" s="428"/>
      <c r="I643" s="428"/>
      <c r="J643" s="428"/>
      <c r="K643" s="428"/>
      <c r="L643" s="428"/>
      <c r="M643" s="428"/>
      <c r="N643" s="428"/>
      <c r="O643" s="428"/>
      <c r="P643" s="428"/>
      <c r="Q643" s="428"/>
      <c r="R643" s="428"/>
      <c r="T643" s="428"/>
      <c r="X643" s="428"/>
      <c r="Y643" s="428"/>
      <c r="Z643" s="428"/>
    </row>
    <row r="644" spans="2:26" ht="12.75">
      <c r="B644" s="426"/>
      <c r="H644" s="428"/>
      <c r="I644" s="428"/>
      <c r="J644" s="428"/>
      <c r="K644" s="428"/>
      <c r="L644" s="428"/>
      <c r="M644" s="428"/>
      <c r="N644" s="428"/>
      <c r="O644" s="428"/>
      <c r="P644" s="428"/>
      <c r="Q644" s="428"/>
      <c r="R644" s="428"/>
      <c r="T644" s="428"/>
      <c r="X644" s="428"/>
      <c r="Y644" s="428"/>
      <c r="Z644" s="428"/>
    </row>
    <row r="645" spans="2:26" ht="12.75">
      <c r="B645" s="426"/>
      <c r="H645" s="428"/>
      <c r="I645" s="428"/>
      <c r="J645" s="428"/>
      <c r="K645" s="428"/>
      <c r="L645" s="428"/>
      <c r="M645" s="428"/>
      <c r="N645" s="428"/>
      <c r="O645" s="428"/>
      <c r="P645" s="428"/>
      <c r="Q645" s="428"/>
      <c r="R645" s="428"/>
      <c r="T645" s="428"/>
      <c r="X645" s="428"/>
      <c r="Y645" s="428"/>
      <c r="Z645" s="428"/>
    </row>
    <row r="646" spans="2:26" ht="12.75">
      <c r="B646" s="426"/>
      <c r="H646" s="428"/>
      <c r="I646" s="428"/>
      <c r="J646" s="428"/>
      <c r="K646" s="428"/>
      <c r="L646" s="428"/>
      <c r="M646" s="428"/>
      <c r="N646" s="428"/>
      <c r="O646" s="428"/>
      <c r="P646" s="428"/>
      <c r="Q646" s="428"/>
      <c r="R646" s="428"/>
      <c r="T646" s="428"/>
      <c r="X646" s="428"/>
      <c r="Y646" s="428"/>
      <c r="Z646" s="428"/>
    </row>
    <row r="647" spans="2:26" ht="12.75">
      <c r="B647" s="426"/>
      <c r="H647" s="428"/>
      <c r="I647" s="428"/>
      <c r="J647" s="428"/>
      <c r="K647" s="428"/>
      <c r="L647" s="428"/>
      <c r="M647" s="428"/>
      <c r="N647" s="428"/>
      <c r="O647" s="428"/>
      <c r="P647" s="428"/>
      <c r="Q647" s="428"/>
      <c r="R647" s="428"/>
      <c r="T647" s="428"/>
      <c r="X647" s="428"/>
      <c r="Y647" s="428"/>
      <c r="Z647" s="428"/>
    </row>
    <row r="648" spans="2:26" ht="12.75">
      <c r="B648" s="426"/>
      <c r="H648" s="428"/>
      <c r="I648" s="428"/>
      <c r="J648" s="428"/>
      <c r="K648" s="428"/>
      <c r="L648" s="428"/>
      <c r="M648" s="428"/>
      <c r="N648" s="428"/>
      <c r="O648" s="428"/>
      <c r="P648" s="428"/>
      <c r="Q648" s="428"/>
      <c r="R648" s="428"/>
      <c r="T648" s="428"/>
      <c r="X648" s="428"/>
      <c r="Y648" s="428"/>
      <c r="Z648" s="428"/>
    </row>
    <row r="649" spans="2:26" ht="12.75">
      <c r="B649" s="426"/>
      <c r="H649" s="428"/>
      <c r="I649" s="428"/>
      <c r="J649" s="428"/>
      <c r="K649" s="428"/>
      <c r="L649" s="428"/>
      <c r="M649" s="428"/>
      <c r="N649" s="428"/>
      <c r="O649" s="428"/>
      <c r="P649" s="428"/>
      <c r="Q649" s="428"/>
      <c r="R649" s="428"/>
      <c r="T649" s="428"/>
      <c r="X649" s="428"/>
      <c r="Y649" s="428"/>
      <c r="Z649" s="428"/>
    </row>
    <row r="650" spans="2:26" ht="12.75">
      <c r="B650" s="426"/>
      <c r="H650" s="428"/>
      <c r="I650" s="428"/>
      <c r="J650" s="428"/>
      <c r="K650" s="428"/>
      <c r="L650" s="428"/>
      <c r="M650" s="428"/>
      <c r="N650" s="428"/>
      <c r="O650" s="428"/>
      <c r="P650" s="428"/>
      <c r="Q650" s="428"/>
      <c r="R650" s="428"/>
      <c r="T650" s="428"/>
      <c r="X650" s="428"/>
      <c r="Y650" s="428"/>
      <c r="Z650" s="428"/>
    </row>
    <row r="651" spans="2:26" ht="12.75">
      <c r="B651" s="426"/>
      <c r="H651" s="428"/>
      <c r="I651" s="428"/>
      <c r="J651" s="428"/>
      <c r="K651" s="428"/>
      <c r="L651" s="428"/>
      <c r="M651" s="428"/>
      <c r="N651" s="428"/>
      <c r="O651" s="428"/>
      <c r="P651" s="428"/>
      <c r="Q651" s="428"/>
      <c r="R651" s="428"/>
      <c r="T651" s="428"/>
      <c r="X651" s="428"/>
      <c r="Y651" s="428"/>
      <c r="Z651" s="428"/>
    </row>
    <row r="652" spans="2:26" ht="12.75">
      <c r="B652" s="426"/>
      <c r="H652" s="428"/>
      <c r="I652" s="428"/>
      <c r="J652" s="428"/>
      <c r="K652" s="428"/>
      <c r="L652" s="428"/>
      <c r="M652" s="428"/>
      <c r="N652" s="428"/>
      <c r="O652" s="428"/>
      <c r="P652" s="428"/>
      <c r="Q652" s="428"/>
      <c r="R652" s="428"/>
      <c r="T652" s="428"/>
      <c r="X652" s="428"/>
      <c r="Y652" s="428"/>
      <c r="Z652" s="428"/>
    </row>
    <row r="653" spans="2:26" ht="12.75">
      <c r="B653" s="426"/>
      <c r="H653" s="428"/>
      <c r="I653" s="428"/>
      <c r="J653" s="428"/>
      <c r="K653" s="428"/>
      <c r="L653" s="428"/>
      <c r="M653" s="428"/>
      <c r="N653" s="428"/>
      <c r="O653" s="428"/>
      <c r="P653" s="428"/>
      <c r="Q653" s="428"/>
      <c r="R653" s="428"/>
      <c r="T653" s="428"/>
      <c r="X653" s="428"/>
      <c r="Y653" s="428"/>
      <c r="Z653" s="428"/>
    </row>
    <row r="654" spans="2:26" ht="12.75">
      <c r="B654" s="426"/>
      <c r="H654" s="428"/>
      <c r="I654" s="428"/>
      <c r="J654" s="428"/>
      <c r="K654" s="428"/>
      <c r="L654" s="428"/>
      <c r="M654" s="428"/>
      <c r="N654" s="428"/>
      <c r="O654" s="428"/>
      <c r="P654" s="428"/>
      <c r="Q654" s="428"/>
      <c r="R654" s="428"/>
      <c r="T654" s="428"/>
      <c r="X654" s="428"/>
      <c r="Y654" s="428"/>
      <c r="Z654" s="428"/>
    </row>
    <row r="655" spans="2:26" ht="12.75">
      <c r="B655" s="426"/>
      <c r="H655" s="428"/>
      <c r="I655" s="428"/>
      <c r="J655" s="428"/>
      <c r="K655" s="428"/>
      <c r="L655" s="428"/>
      <c r="M655" s="428"/>
      <c r="N655" s="428"/>
      <c r="O655" s="428"/>
      <c r="P655" s="428"/>
      <c r="Q655" s="428"/>
      <c r="R655" s="428"/>
      <c r="T655" s="428"/>
      <c r="X655" s="428"/>
      <c r="Y655" s="428"/>
      <c r="Z655" s="428"/>
    </row>
    <row r="656" spans="2:26" ht="12.75">
      <c r="B656" s="426"/>
      <c r="H656" s="428"/>
      <c r="I656" s="428"/>
      <c r="J656" s="428"/>
      <c r="K656" s="428"/>
      <c r="L656" s="428"/>
      <c r="M656" s="428"/>
      <c r="N656" s="428"/>
      <c r="O656" s="428"/>
      <c r="P656" s="428"/>
      <c r="Q656" s="428"/>
      <c r="R656" s="428"/>
      <c r="T656" s="428"/>
      <c r="X656" s="428"/>
      <c r="Y656" s="428"/>
      <c r="Z656" s="428"/>
    </row>
    <row r="657" spans="2:26" ht="12.75">
      <c r="B657" s="426"/>
      <c r="H657" s="428"/>
      <c r="I657" s="428"/>
      <c r="J657" s="428"/>
      <c r="K657" s="428"/>
      <c r="L657" s="428"/>
      <c r="M657" s="428"/>
      <c r="N657" s="428"/>
      <c r="O657" s="428"/>
      <c r="P657" s="428"/>
      <c r="Q657" s="428"/>
      <c r="R657" s="428"/>
      <c r="T657" s="428"/>
      <c r="X657" s="428"/>
      <c r="Y657" s="428"/>
      <c r="Z657" s="428"/>
    </row>
    <row r="658" spans="2:26" ht="12.75">
      <c r="B658" s="426"/>
      <c r="H658" s="428"/>
      <c r="I658" s="428"/>
      <c r="J658" s="428"/>
      <c r="K658" s="428"/>
      <c r="L658" s="428"/>
      <c r="M658" s="428"/>
      <c r="N658" s="428"/>
      <c r="O658" s="428"/>
      <c r="P658" s="428"/>
      <c r="Q658" s="428"/>
      <c r="R658" s="428"/>
      <c r="T658" s="428"/>
      <c r="X658" s="428"/>
      <c r="Y658" s="428"/>
      <c r="Z658" s="428"/>
    </row>
    <row r="659" spans="2:26" ht="12.75">
      <c r="B659" s="426"/>
      <c r="H659" s="428"/>
      <c r="I659" s="428"/>
      <c r="J659" s="428"/>
      <c r="K659" s="428"/>
      <c r="L659" s="428"/>
      <c r="M659" s="428"/>
      <c r="N659" s="428"/>
      <c r="O659" s="428"/>
      <c r="P659" s="428"/>
      <c r="Q659" s="428"/>
      <c r="R659" s="428"/>
      <c r="T659" s="428"/>
      <c r="X659" s="428"/>
      <c r="Y659" s="428"/>
      <c r="Z659" s="428"/>
    </row>
    <row r="660" spans="2:26" ht="12.75">
      <c r="B660" s="426"/>
      <c r="H660" s="428"/>
      <c r="I660" s="428"/>
      <c r="J660" s="428"/>
      <c r="K660" s="428"/>
      <c r="L660" s="428"/>
      <c r="M660" s="428"/>
      <c r="N660" s="428"/>
      <c r="O660" s="428"/>
      <c r="P660" s="428"/>
      <c r="Q660" s="428"/>
      <c r="R660" s="428"/>
      <c r="T660" s="428"/>
      <c r="X660" s="428"/>
      <c r="Y660" s="428"/>
      <c r="Z660" s="428"/>
    </row>
    <row r="661" spans="2:26" ht="12.75">
      <c r="B661" s="426"/>
      <c r="H661" s="428"/>
      <c r="I661" s="428"/>
      <c r="J661" s="428"/>
      <c r="K661" s="428"/>
      <c r="L661" s="428"/>
      <c r="M661" s="428"/>
      <c r="N661" s="428"/>
      <c r="O661" s="428"/>
      <c r="P661" s="428"/>
      <c r="Q661" s="428"/>
      <c r="R661" s="428"/>
      <c r="T661" s="428"/>
      <c r="X661" s="428"/>
      <c r="Y661" s="428"/>
      <c r="Z661" s="428"/>
    </row>
    <row r="662" spans="2:26" ht="12.75">
      <c r="B662" s="426"/>
      <c r="H662" s="428"/>
      <c r="I662" s="428"/>
      <c r="J662" s="428"/>
      <c r="K662" s="428"/>
      <c r="L662" s="428"/>
      <c r="M662" s="428"/>
      <c r="N662" s="428"/>
      <c r="O662" s="428"/>
      <c r="P662" s="428"/>
      <c r="Q662" s="428"/>
      <c r="R662" s="428"/>
      <c r="T662" s="428"/>
      <c r="X662" s="428"/>
      <c r="Y662" s="428"/>
      <c r="Z662" s="428"/>
    </row>
    <row r="663" spans="2:26" ht="12.75">
      <c r="B663" s="426"/>
      <c r="H663" s="428"/>
      <c r="I663" s="428"/>
      <c r="J663" s="428"/>
      <c r="K663" s="428"/>
      <c r="L663" s="428"/>
      <c r="M663" s="428"/>
      <c r="N663" s="428"/>
      <c r="O663" s="428"/>
      <c r="P663" s="428"/>
      <c r="Q663" s="428"/>
      <c r="R663" s="428"/>
      <c r="T663" s="428"/>
      <c r="X663" s="428"/>
      <c r="Y663" s="428"/>
      <c r="Z663" s="428"/>
    </row>
    <row r="664" spans="2:26" ht="12.75">
      <c r="B664" s="426"/>
      <c r="H664" s="428"/>
      <c r="I664" s="428"/>
      <c r="J664" s="428"/>
      <c r="K664" s="428"/>
      <c r="L664" s="428"/>
      <c r="M664" s="428"/>
      <c r="N664" s="428"/>
      <c r="O664" s="428"/>
      <c r="P664" s="428"/>
      <c r="Q664" s="428"/>
      <c r="R664" s="428"/>
      <c r="T664" s="428"/>
      <c r="X664" s="428"/>
      <c r="Y664" s="428"/>
      <c r="Z664" s="428"/>
    </row>
    <row r="665" spans="2:26" ht="12.75">
      <c r="B665" s="426"/>
      <c r="H665" s="428"/>
      <c r="I665" s="428"/>
      <c r="J665" s="428"/>
      <c r="K665" s="428"/>
      <c r="L665" s="428"/>
      <c r="M665" s="428"/>
      <c r="N665" s="428"/>
      <c r="O665" s="428"/>
      <c r="P665" s="428"/>
      <c r="Q665" s="428"/>
      <c r="R665" s="428"/>
      <c r="T665" s="428"/>
      <c r="X665" s="428"/>
      <c r="Y665" s="428"/>
      <c r="Z665" s="428"/>
    </row>
    <row r="666" spans="2:26" ht="12.75">
      <c r="B666" s="426"/>
      <c r="H666" s="428"/>
      <c r="I666" s="428"/>
      <c r="J666" s="428"/>
      <c r="K666" s="428"/>
      <c r="L666" s="428"/>
      <c r="M666" s="428"/>
      <c r="N666" s="428"/>
      <c r="O666" s="428"/>
      <c r="P666" s="428"/>
      <c r="Q666" s="428"/>
      <c r="R666" s="428"/>
      <c r="T666" s="428"/>
      <c r="X666" s="428"/>
      <c r="Y666" s="428"/>
      <c r="Z666" s="428"/>
    </row>
    <row r="667" spans="2:26" ht="12.75">
      <c r="B667" s="426"/>
      <c r="H667" s="428"/>
      <c r="I667" s="428"/>
      <c r="J667" s="428"/>
      <c r="K667" s="428"/>
      <c r="L667" s="428"/>
      <c r="M667" s="428"/>
      <c r="N667" s="428"/>
      <c r="O667" s="428"/>
      <c r="P667" s="428"/>
      <c r="Q667" s="428"/>
      <c r="R667" s="428"/>
      <c r="T667" s="428"/>
      <c r="X667" s="428"/>
      <c r="Y667" s="428"/>
      <c r="Z667" s="428"/>
    </row>
    <row r="668" spans="2:26" ht="12.75">
      <c r="B668" s="426"/>
      <c r="H668" s="428"/>
      <c r="I668" s="428"/>
      <c r="J668" s="428"/>
      <c r="K668" s="428"/>
      <c r="L668" s="428"/>
      <c r="M668" s="428"/>
      <c r="N668" s="428"/>
      <c r="O668" s="428"/>
      <c r="P668" s="428"/>
      <c r="Q668" s="428"/>
      <c r="R668" s="428"/>
      <c r="T668" s="428"/>
      <c r="X668" s="428"/>
      <c r="Y668" s="428"/>
      <c r="Z668" s="428"/>
    </row>
    <row r="669" spans="2:26" ht="12.75">
      <c r="B669" s="426"/>
      <c r="H669" s="428"/>
      <c r="I669" s="428"/>
      <c r="J669" s="428"/>
      <c r="K669" s="428"/>
      <c r="L669" s="428"/>
      <c r="M669" s="428"/>
      <c r="N669" s="428"/>
      <c r="O669" s="428"/>
      <c r="P669" s="428"/>
      <c r="Q669" s="428"/>
      <c r="R669" s="428"/>
      <c r="T669" s="428"/>
      <c r="X669" s="428"/>
      <c r="Y669" s="428"/>
      <c r="Z669" s="428"/>
    </row>
    <row r="670" spans="2:26" ht="12.75">
      <c r="B670" s="426"/>
      <c r="H670" s="428"/>
      <c r="I670" s="428"/>
      <c r="J670" s="428"/>
      <c r="K670" s="428"/>
      <c r="L670" s="428"/>
      <c r="M670" s="428"/>
      <c r="N670" s="428"/>
      <c r="O670" s="428"/>
      <c r="P670" s="428"/>
      <c r="Q670" s="428"/>
      <c r="R670" s="428"/>
      <c r="T670" s="428"/>
      <c r="X670" s="428"/>
      <c r="Y670" s="428"/>
      <c r="Z670" s="428"/>
    </row>
    <row r="671" spans="2:26" ht="12.75">
      <c r="B671" s="426"/>
      <c r="H671" s="428"/>
      <c r="I671" s="428"/>
      <c r="J671" s="428"/>
      <c r="K671" s="428"/>
      <c r="L671" s="428"/>
      <c r="M671" s="428"/>
      <c r="N671" s="428"/>
      <c r="O671" s="428"/>
      <c r="P671" s="428"/>
      <c r="Q671" s="428"/>
      <c r="R671" s="428"/>
      <c r="T671" s="428"/>
      <c r="X671" s="428"/>
      <c r="Y671" s="428"/>
      <c r="Z671" s="428"/>
    </row>
    <row r="672" spans="2:26" ht="12.75">
      <c r="B672" s="426"/>
      <c r="H672" s="428"/>
      <c r="I672" s="428"/>
      <c r="J672" s="428"/>
      <c r="K672" s="428"/>
      <c r="L672" s="428"/>
      <c r="M672" s="428"/>
      <c r="N672" s="428"/>
      <c r="O672" s="428"/>
      <c r="P672" s="428"/>
      <c r="Q672" s="428"/>
      <c r="R672" s="428"/>
      <c r="T672" s="428"/>
      <c r="X672" s="428"/>
      <c r="Y672" s="428"/>
      <c r="Z672" s="428"/>
    </row>
    <row r="673" spans="2:26" ht="12.75">
      <c r="B673" s="426"/>
      <c r="H673" s="428"/>
      <c r="I673" s="428"/>
      <c r="J673" s="428"/>
      <c r="K673" s="428"/>
      <c r="L673" s="428"/>
      <c r="M673" s="428"/>
      <c r="N673" s="428"/>
      <c r="O673" s="428"/>
      <c r="P673" s="428"/>
      <c r="Q673" s="428"/>
      <c r="R673" s="428"/>
      <c r="T673" s="428"/>
      <c r="X673" s="428"/>
      <c r="Y673" s="428"/>
      <c r="Z673" s="428"/>
    </row>
    <row r="674" spans="2:26" ht="12.75">
      <c r="B674" s="426"/>
      <c r="H674" s="428"/>
      <c r="I674" s="428"/>
      <c r="J674" s="428"/>
      <c r="K674" s="428"/>
      <c r="L674" s="428"/>
      <c r="M674" s="428"/>
      <c r="N674" s="428"/>
      <c r="O674" s="428"/>
      <c r="P674" s="428"/>
      <c r="Q674" s="428"/>
      <c r="R674" s="428"/>
      <c r="T674" s="428"/>
      <c r="X674" s="428"/>
      <c r="Y674" s="428"/>
      <c r="Z674" s="428"/>
    </row>
    <row r="675" spans="2:26" ht="12.75">
      <c r="B675" s="426"/>
      <c r="H675" s="428"/>
      <c r="I675" s="428"/>
      <c r="J675" s="428"/>
      <c r="K675" s="428"/>
      <c r="L675" s="428"/>
      <c r="M675" s="428"/>
      <c r="N675" s="428"/>
      <c r="O675" s="428"/>
      <c r="P675" s="428"/>
      <c r="Q675" s="428"/>
      <c r="R675" s="428"/>
      <c r="T675" s="428"/>
      <c r="X675" s="428"/>
      <c r="Y675" s="428"/>
      <c r="Z675" s="428"/>
    </row>
    <row r="676" spans="2:26" ht="12.75">
      <c r="B676" s="426"/>
      <c r="H676" s="428"/>
      <c r="I676" s="428"/>
      <c r="J676" s="428"/>
      <c r="K676" s="428"/>
      <c r="L676" s="428"/>
      <c r="M676" s="428"/>
      <c r="N676" s="428"/>
      <c r="O676" s="428"/>
      <c r="P676" s="428"/>
      <c r="Q676" s="428"/>
      <c r="R676" s="428"/>
      <c r="T676" s="428"/>
      <c r="X676" s="428"/>
      <c r="Y676" s="428"/>
      <c r="Z676" s="428"/>
    </row>
    <row r="677" spans="2:26" ht="12.75">
      <c r="B677" s="426"/>
      <c r="H677" s="428"/>
      <c r="I677" s="428"/>
      <c r="J677" s="428"/>
      <c r="K677" s="428"/>
      <c r="L677" s="428"/>
      <c r="M677" s="428"/>
      <c r="N677" s="428"/>
      <c r="O677" s="428"/>
      <c r="P677" s="428"/>
      <c r="Q677" s="428"/>
      <c r="R677" s="428"/>
      <c r="T677" s="428"/>
      <c r="X677" s="428"/>
      <c r="Y677" s="428"/>
      <c r="Z677" s="428"/>
    </row>
    <row r="678" spans="2:26" ht="12.75">
      <c r="B678" s="426"/>
      <c r="H678" s="428"/>
      <c r="I678" s="428"/>
      <c r="J678" s="428"/>
      <c r="K678" s="428"/>
      <c r="L678" s="428"/>
      <c r="M678" s="428"/>
      <c r="N678" s="428"/>
      <c r="O678" s="428"/>
      <c r="P678" s="428"/>
      <c r="Q678" s="428"/>
      <c r="R678" s="428"/>
      <c r="T678" s="428"/>
      <c r="X678" s="428"/>
      <c r="Y678" s="428"/>
      <c r="Z678" s="428"/>
    </row>
    <row r="679" spans="2:26" ht="12.75">
      <c r="B679" s="426"/>
      <c r="H679" s="428"/>
      <c r="I679" s="428"/>
      <c r="J679" s="428"/>
      <c r="K679" s="428"/>
      <c r="L679" s="428"/>
      <c r="M679" s="428"/>
      <c r="N679" s="428"/>
      <c r="O679" s="428"/>
      <c r="P679" s="428"/>
      <c r="Q679" s="428"/>
      <c r="R679" s="428"/>
      <c r="T679" s="428"/>
      <c r="X679" s="428"/>
      <c r="Y679" s="428"/>
      <c r="Z679" s="428"/>
    </row>
    <row r="680" spans="2:26" ht="12.75">
      <c r="B680" s="426"/>
      <c r="H680" s="428"/>
      <c r="I680" s="428"/>
      <c r="J680" s="428"/>
      <c r="K680" s="428"/>
      <c r="L680" s="428"/>
      <c r="M680" s="428"/>
      <c r="N680" s="428"/>
      <c r="O680" s="428"/>
      <c r="P680" s="428"/>
      <c r="Q680" s="428"/>
      <c r="R680" s="428"/>
      <c r="T680" s="428"/>
      <c r="X680" s="428"/>
      <c r="Y680" s="428"/>
      <c r="Z680" s="428"/>
    </row>
    <row r="681" spans="2:26" ht="12.75">
      <c r="B681" s="426"/>
      <c r="H681" s="428"/>
      <c r="I681" s="428"/>
      <c r="J681" s="428"/>
      <c r="K681" s="428"/>
      <c r="L681" s="428"/>
      <c r="M681" s="428"/>
      <c r="N681" s="428"/>
      <c r="O681" s="428"/>
      <c r="P681" s="428"/>
      <c r="Q681" s="428"/>
      <c r="R681" s="428"/>
      <c r="T681" s="428"/>
      <c r="X681" s="428"/>
      <c r="Y681" s="428"/>
      <c r="Z681" s="428"/>
    </row>
    <row r="682" spans="2:26" ht="12.75">
      <c r="B682" s="426"/>
      <c r="H682" s="428"/>
      <c r="I682" s="428"/>
      <c r="J682" s="428"/>
      <c r="K682" s="428"/>
      <c r="L682" s="428"/>
      <c r="M682" s="428"/>
      <c r="N682" s="428"/>
      <c r="O682" s="428"/>
      <c r="P682" s="428"/>
      <c r="Q682" s="428"/>
      <c r="R682" s="428"/>
      <c r="T682" s="428"/>
      <c r="X682" s="428"/>
      <c r="Y682" s="428"/>
      <c r="Z682" s="428"/>
    </row>
    <row r="683" spans="2:26" ht="12.75">
      <c r="B683" s="426"/>
      <c r="H683" s="428"/>
      <c r="I683" s="428"/>
      <c r="J683" s="428"/>
      <c r="K683" s="428"/>
      <c r="L683" s="428"/>
      <c r="M683" s="428"/>
      <c r="N683" s="428"/>
      <c r="O683" s="428"/>
      <c r="P683" s="428"/>
      <c r="Q683" s="428"/>
      <c r="R683" s="428"/>
      <c r="T683" s="428"/>
      <c r="X683" s="428"/>
      <c r="Y683" s="428"/>
      <c r="Z683" s="428"/>
    </row>
    <row r="684" spans="2:26" ht="12.75">
      <c r="B684" s="426"/>
      <c r="H684" s="428"/>
      <c r="I684" s="428"/>
      <c r="J684" s="428"/>
      <c r="K684" s="428"/>
      <c r="L684" s="428"/>
      <c r="M684" s="428"/>
      <c r="N684" s="428"/>
      <c r="O684" s="428"/>
      <c r="P684" s="428"/>
      <c r="Q684" s="428"/>
      <c r="R684" s="428"/>
      <c r="T684" s="428"/>
      <c r="X684" s="428"/>
      <c r="Y684" s="428"/>
      <c r="Z684" s="428"/>
    </row>
    <row r="685" spans="2:26" ht="12.75">
      <c r="B685" s="426"/>
      <c r="H685" s="428"/>
      <c r="I685" s="428"/>
      <c r="J685" s="428"/>
      <c r="K685" s="428"/>
      <c r="L685" s="428"/>
      <c r="M685" s="428"/>
      <c r="N685" s="428"/>
      <c r="O685" s="428"/>
      <c r="P685" s="428"/>
      <c r="Q685" s="428"/>
      <c r="R685" s="428"/>
      <c r="T685" s="428"/>
      <c r="X685" s="428"/>
      <c r="Y685" s="428"/>
      <c r="Z685" s="428"/>
    </row>
    <row r="686" spans="2:26" ht="12.75">
      <c r="B686" s="426"/>
      <c r="H686" s="428"/>
      <c r="I686" s="428"/>
      <c r="J686" s="428"/>
      <c r="K686" s="428"/>
      <c r="L686" s="428"/>
      <c r="M686" s="428"/>
      <c r="N686" s="428"/>
      <c r="O686" s="428"/>
      <c r="P686" s="428"/>
      <c r="Q686" s="428"/>
      <c r="R686" s="428"/>
      <c r="T686" s="428"/>
      <c r="X686" s="428"/>
      <c r="Y686" s="428"/>
      <c r="Z686" s="428"/>
    </row>
    <row r="687" spans="2:26" ht="12.75">
      <c r="B687" s="426"/>
      <c r="H687" s="428"/>
      <c r="I687" s="428"/>
      <c r="J687" s="428"/>
      <c r="K687" s="428"/>
      <c r="L687" s="428"/>
      <c r="M687" s="428"/>
      <c r="N687" s="428"/>
      <c r="O687" s="428"/>
      <c r="P687" s="428"/>
      <c r="Q687" s="428"/>
      <c r="R687" s="428"/>
      <c r="T687" s="428"/>
      <c r="X687" s="428"/>
      <c r="Y687" s="428"/>
      <c r="Z687" s="428"/>
    </row>
    <row r="688" spans="2:26" ht="12.75">
      <c r="B688" s="426"/>
      <c r="H688" s="428"/>
      <c r="I688" s="428"/>
      <c r="J688" s="428"/>
      <c r="K688" s="428"/>
      <c r="L688" s="428"/>
      <c r="M688" s="428"/>
      <c r="N688" s="428"/>
      <c r="O688" s="428"/>
      <c r="P688" s="428"/>
      <c r="Q688" s="428"/>
      <c r="R688" s="428"/>
      <c r="T688" s="428"/>
      <c r="X688" s="428"/>
      <c r="Y688" s="428"/>
      <c r="Z688" s="428"/>
    </row>
    <row r="689" spans="2:26" ht="12.75">
      <c r="B689" s="426"/>
      <c r="H689" s="428"/>
      <c r="I689" s="428"/>
      <c r="J689" s="428"/>
      <c r="K689" s="428"/>
      <c r="L689" s="428"/>
      <c r="M689" s="428"/>
      <c r="N689" s="428"/>
      <c r="O689" s="428"/>
      <c r="P689" s="428"/>
      <c r="Q689" s="428"/>
      <c r="R689" s="428"/>
      <c r="T689" s="428"/>
      <c r="X689" s="428"/>
      <c r="Y689" s="428"/>
      <c r="Z689" s="428"/>
    </row>
    <row r="690" spans="2:26" ht="12.75">
      <c r="B690" s="426"/>
      <c r="H690" s="428"/>
      <c r="I690" s="428"/>
      <c r="J690" s="428"/>
      <c r="K690" s="428"/>
      <c r="L690" s="428"/>
      <c r="M690" s="428"/>
      <c r="N690" s="428"/>
      <c r="O690" s="428"/>
      <c r="P690" s="428"/>
      <c r="Q690" s="428"/>
      <c r="R690" s="428"/>
      <c r="T690" s="428"/>
      <c r="X690" s="428"/>
      <c r="Y690" s="428"/>
      <c r="Z690" s="428"/>
    </row>
    <row r="691" spans="2:26" ht="12.75">
      <c r="B691" s="426"/>
      <c r="H691" s="428"/>
      <c r="I691" s="428"/>
      <c r="J691" s="428"/>
      <c r="K691" s="428"/>
      <c r="L691" s="428"/>
      <c r="M691" s="428"/>
      <c r="N691" s="428"/>
      <c r="O691" s="428"/>
      <c r="P691" s="428"/>
      <c r="Q691" s="428"/>
      <c r="R691" s="428"/>
      <c r="T691" s="428"/>
      <c r="X691" s="428"/>
      <c r="Y691" s="428"/>
      <c r="Z691" s="428"/>
    </row>
    <row r="692" spans="2:26" ht="12.75">
      <c r="B692" s="426"/>
      <c r="H692" s="428"/>
      <c r="I692" s="428"/>
      <c r="J692" s="428"/>
      <c r="K692" s="428"/>
      <c r="L692" s="428"/>
      <c r="M692" s="428"/>
      <c r="N692" s="428"/>
      <c r="O692" s="428"/>
      <c r="P692" s="428"/>
      <c r="Q692" s="428"/>
      <c r="R692" s="428"/>
      <c r="T692" s="428"/>
      <c r="X692" s="428"/>
      <c r="Y692" s="428"/>
      <c r="Z692" s="428"/>
    </row>
    <row r="693" spans="2:26" ht="12.75">
      <c r="B693" s="426"/>
      <c r="H693" s="428"/>
      <c r="I693" s="428"/>
      <c r="J693" s="428"/>
      <c r="K693" s="428"/>
      <c r="L693" s="428"/>
      <c r="M693" s="428"/>
      <c r="N693" s="428"/>
      <c r="O693" s="428"/>
      <c r="P693" s="428"/>
      <c r="Q693" s="428"/>
      <c r="R693" s="428"/>
      <c r="T693" s="428"/>
      <c r="X693" s="428"/>
      <c r="Y693" s="428"/>
      <c r="Z693" s="428"/>
    </row>
    <row r="694" spans="2:26" ht="12.75">
      <c r="B694" s="426"/>
      <c r="H694" s="428"/>
      <c r="I694" s="428"/>
      <c r="J694" s="428"/>
      <c r="K694" s="428"/>
      <c r="L694" s="428"/>
      <c r="M694" s="428"/>
      <c r="N694" s="428"/>
      <c r="O694" s="428"/>
      <c r="P694" s="428"/>
      <c r="Q694" s="428"/>
      <c r="R694" s="428"/>
      <c r="T694" s="428"/>
      <c r="X694" s="428"/>
      <c r="Y694" s="428"/>
      <c r="Z694" s="428"/>
    </row>
    <row r="695" spans="2:26" ht="12.75">
      <c r="B695" s="426"/>
      <c r="H695" s="428"/>
      <c r="I695" s="428"/>
      <c r="J695" s="428"/>
      <c r="K695" s="428"/>
      <c r="L695" s="428"/>
      <c r="M695" s="428"/>
      <c r="N695" s="428"/>
      <c r="O695" s="428"/>
      <c r="P695" s="428"/>
      <c r="Q695" s="428"/>
      <c r="R695" s="428"/>
      <c r="T695" s="428"/>
      <c r="X695" s="428"/>
      <c r="Y695" s="428"/>
      <c r="Z695" s="428"/>
    </row>
    <row r="696" spans="2:26" ht="12.75">
      <c r="B696" s="426"/>
      <c r="H696" s="428"/>
      <c r="I696" s="428"/>
      <c r="J696" s="428"/>
      <c r="K696" s="428"/>
      <c r="L696" s="428"/>
      <c r="M696" s="428"/>
      <c r="N696" s="428"/>
      <c r="O696" s="428"/>
      <c r="P696" s="428"/>
      <c r="Q696" s="428"/>
      <c r="R696" s="428"/>
      <c r="T696" s="428"/>
      <c r="X696" s="428"/>
      <c r="Y696" s="428"/>
      <c r="Z696" s="428"/>
    </row>
    <row r="697" spans="2:26" ht="12.75">
      <c r="B697" s="426"/>
      <c r="H697" s="428"/>
      <c r="I697" s="428"/>
      <c r="J697" s="428"/>
      <c r="K697" s="428"/>
      <c r="L697" s="428"/>
      <c r="M697" s="428"/>
      <c r="N697" s="428"/>
      <c r="O697" s="428"/>
      <c r="P697" s="428"/>
      <c r="Q697" s="428"/>
      <c r="R697" s="428"/>
      <c r="T697" s="428"/>
      <c r="X697" s="428"/>
      <c r="Y697" s="428"/>
      <c r="Z697" s="428"/>
    </row>
    <row r="698" spans="2:26" ht="12.75">
      <c r="B698" s="426"/>
      <c r="H698" s="428"/>
      <c r="I698" s="428"/>
      <c r="J698" s="428"/>
      <c r="K698" s="428"/>
      <c r="L698" s="428"/>
      <c r="M698" s="428"/>
      <c r="N698" s="428"/>
      <c r="O698" s="428"/>
      <c r="P698" s="428"/>
      <c r="Q698" s="428"/>
      <c r="R698" s="428"/>
      <c r="T698" s="428"/>
      <c r="X698" s="428"/>
      <c r="Y698" s="428"/>
      <c r="Z698" s="428"/>
    </row>
    <row r="699" spans="2:26" ht="12.75">
      <c r="B699" s="426"/>
      <c r="H699" s="428"/>
      <c r="I699" s="428"/>
      <c r="J699" s="428"/>
      <c r="K699" s="428"/>
      <c r="L699" s="428"/>
      <c r="M699" s="428"/>
      <c r="N699" s="428"/>
      <c r="O699" s="428"/>
      <c r="P699" s="428"/>
      <c r="Q699" s="428"/>
      <c r="R699" s="428"/>
      <c r="T699" s="428"/>
      <c r="X699" s="428"/>
      <c r="Y699" s="428"/>
      <c r="Z699" s="428"/>
    </row>
    <row r="700" spans="2:26" ht="12.75">
      <c r="B700" s="426"/>
      <c r="H700" s="428"/>
      <c r="I700" s="428"/>
      <c r="J700" s="428"/>
      <c r="K700" s="428"/>
      <c r="L700" s="428"/>
      <c r="M700" s="428"/>
      <c r="N700" s="428"/>
      <c r="O700" s="428"/>
      <c r="P700" s="428"/>
      <c r="Q700" s="428"/>
      <c r="R700" s="428"/>
      <c r="T700" s="428"/>
      <c r="X700" s="428"/>
      <c r="Y700" s="428"/>
      <c r="Z700" s="428"/>
    </row>
    <row r="701" spans="2:26" ht="12.75">
      <c r="B701" s="426"/>
      <c r="H701" s="428"/>
      <c r="I701" s="428"/>
      <c r="J701" s="428"/>
      <c r="K701" s="428"/>
      <c r="L701" s="428"/>
      <c r="M701" s="428"/>
      <c r="N701" s="428"/>
      <c r="O701" s="428"/>
      <c r="P701" s="428"/>
      <c r="Q701" s="428"/>
      <c r="R701" s="428"/>
      <c r="T701" s="428"/>
      <c r="X701" s="428"/>
      <c r="Y701" s="428"/>
      <c r="Z701" s="428"/>
    </row>
    <row r="702" spans="2:26" ht="12.75">
      <c r="B702" s="426"/>
      <c r="H702" s="428"/>
      <c r="I702" s="428"/>
      <c r="J702" s="428"/>
      <c r="K702" s="428"/>
      <c r="L702" s="428"/>
      <c r="M702" s="428"/>
      <c r="N702" s="428"/>
      <c r="O702" s="428"/>
      <c r="P702" s="428"/>
      <c r="Q702" s="428"/>
      <c r="R702" s="428"/>
      <c r="T702" s="428"/>
      <c r="X702" s="428"/>
      <c r="Y702" s="428"/>
      <c r="Z702" s="428"/>
    </row>
    <row r="703" spans="2:26" ht="12.75">
      <c r="B703" s="426"/>
      <c r="H703" s="428"/>
      <c r="I703" s="428"/>
      <c r="J703" s="428"/>
      <c r="K703" s="428"/>
      <c r="L703" s="428"/>
      <c r="M703" s="428"/>
      <c r="N703" s="428"/>
      <c r="O703" s="428"/>
      <c r="P703" s="428"/>
      <c r="Q703" s="428"/>
      <c r="R703" s="428"/>
      <c r="T703" s="428"/>
      <c r="X703" s="428"/>
      <c r="Y703" s="428"/>
      <c r="Z703" s="428"/>
    </row>
    <row r="704" spans="2:26" ht="12.75">
      <c r="B704" s="426"/>
      <c r="H704" s="428"/>
      <c r="I704" s="428"/>
      <c r="J704" s="428"/>
      <c r="K704" s="428"/>
      <c r="L704" s="428"/>
      <c r="M704" s="428"/>
      <c r="N704" s="428"/>
      <c r="O704" s="428"/>
      <c r="P704" s="428"/>
      <c r="Q704" s="428"/>
      <c r="R704" s="428"/>
      <c r="T704" s="428"/>
      <c r="X704" s="428"/>
      <c r="Y704" s="428"/>
      <c r="Z704" s="428"/>
    </row>
    <row r="705" spans="2:26" ht="12.75">
      <c r="B705" s="426"/>
      <c r="H705" s="428"/>
      <c r="I705" s="428"/>
      <c r="J705" s="428"/>
      <c r="K705" s="428"/>
      <c r="L705" s="428"/>
      <c r="M705" s="428"/>
      <c r="N705" s="428"/>
      <c r="O705" s="428"/>
      <c r="P705" s="428"/>
      <c r="Q705" s="428"/>
      <c r="R705" s="428"/>
      <c r="T705" s="428"/>
      <c r="X705" s="428"/>
      <c r="Y705" s="428"/>
      <c r="Z705" s="428"/>
    </row>
    <row r="706" spans="2:26" ht="12.75">
      <c r="B706" s="426"/>
      <c r="H706" s="428"/>
      <c r="I706" s="428"/>
      <c r="J706" s="428"/>
      <c r="K706" s="428"/>
      <c r="L706" s="428"/>
      <c r="M706" s="428"/>
      <c r="N706" s="428"/>
      <c r="O706" s="428"/>
      <c r="P706" s="428"/>
      <c r="Q706" s="428"/>
      <c r="R706" s="428"/>
      <c r="T706" s="428"/>
      <c r="X706" s="428"/>
      <c r="Y706" s="428"/>
      <c r="Z706" s="428"/>
    </row>
    <row r="707" spans="2:26" ht="12.75">
      <c r="B707" s="426"/>
      <c r="H707" s="428"/>
      <c r="I707" s="428"/>
      <c r="J707" s="428"/>
      <c r="K707" s="428"/>
      <c r="L707" s="428"/>
      <c r="M707" s="428"/>
      <c r="N707" s="428"/>
      <c r="O707" s="428"/>
      <c r="P707" s="428"/>
      <c r="Q707" s="428"/>
      <c r="R707" s="428"/>
      <c r="T707" s="428"/>
      <c r="X707" s="428"/>
      <c r="Y707" s="428"/>
      <c r="Z707" s="428"/>
    </row>
    <row r="708" spans="2:26" ht="12.75">
      <c r="B708" s="426"/>
      <c r="H708" s="428"/>
      <c r="I708" s="428"/>
      <c r="J708" s="428"/>
      <c r="K708" s="428"/>
      <c r="L708" s="428"/>
      <c r="M708" s="428"/>
      <c r="N708" s="428"/>
      <c r="O708" s="428"/>
      <c r="P708" s="428"/>
      <c r="Q708" s="428"/>
      <c r="R708" s="428"/>
      <c r="T708" s="428"/>
      <c r="X708" s="428"/>
      <c r="Y708" s="428"/>
      <c r="Z708" s="428"/>
    </row>
    <row r="709" spans="2:26" ht="12.75">
      <c r="B709" s="426"/>
      <c r="H709" s="428"/>
      <c r="I709" s="428"/>
      <c r="J709" s="428"/>
      <c r="K709" s="428"/>
      <c r="L709" s="428"/>
      <c r="M709" s="428"/>
      <c r="N709" s="428"/>
      <c r="O709" s="428"/>
      <c r="P709" s="428"/>
      <c r="Q709" s="428"/>
      <c r="R709" s="428"/>
      <c r="T709" s="428"/>
      <c r="X709" s="428"/>
      <c r="Y709" s="428"/>
      <c r="Z709" s="428"/>
    </row>
    <row r="710" spans="2:26" ht="12.75">
      <c r="B710" s="426"/>
      <c r="H710" s="428"/>
      <c r="I710" s="428"/>
      <c r="J710" s="428"/>
      <c r="K710" s="428"/>
      <c r="L710" s="428"/>
      <c r="M710" s="428"/>
      <c r="N710" s="428"/>
      <c r="O710" s="428"/>
      <c r="P710" s="428"/>
      <c r="Q710" s="428"/>
      <c r="R710" s="428"/>
      <c r="T710" s="428"/>
      <c r="X710" s="428"/>
      <c r="Y710" s="428"/>
      <c r="Z710" s="428"/>
    </row>
    <row r="711" spans="2:26" ht="12.75">
      <c r="B711" s="426"/>
      <c r="H711" s="428"/>
      <c r="I711" s="428"/>
      <c r="J711" s="428"/>
      <c r="K711" s="428"/>
      <c r="L711" s="428"/>
      <c r="M711" s="428"/>
      <c r="N711" s="428"/>
      <c r="O711" s="428"/>
      <c r="P711" s="428"/>
      <c r="Q711" s="428"/>
      <c r="R711" s="428"/>
      <c r="T711" s="428"/>
      <c r="X711" s="428"/>
      <c r="Y711" s="428"/>
      <c r="Z711" s="428"/>
    </row>
    <row r="712" spans="2:26" ht="12.75">
      <c r="B712" s="426"/>
      <c r="H712" s="428"/>
      <c r="I712" s="428"/>
      <c r="J712" s="428"/>
      <c r="K712" s="428"/>
      <c r="L712" s="428"/>
      <c r="M712" s="428"/>
      <c r="N712" s="428"/>
      <c r="O712" s="428"/>
      <c r="P712" s="428"/>
      <c r="Q712" s="428"/>
      <c r="R712" s="428"/>
      <c r="T712" s="428"/>
      <c r="X712" s="428"/>
      <c r="Y712" s="428"/>
      <c r="Z712" s="428"/>
    </row>
    <row r="713" spans="2:26" ht="12.75">
      <c r="B713" s="426"/>
      <c r="H713" s="428"/>
      <c r="I713" s="428"/>
      <c r="J713" s="428"/>
      <c r="K713" s="428"/>
      <c r="L713" s="428"/>
      <c r="M713" s="428"/>
      <c r="N713" s="428"/>
      <c r="O713" s="428"/>
      <c r="P713" s="428"/>
      <c r="Q713" s="428"/>
      <c r="R713" s="428"/>
      <c r="T713" s="428"/>
      <c r="X713" s="428"/>
      <c r="Y713" s="428"/>
      <c r="Z713" s="428"/>
    </row>
    <row r="714" spans="2:26" ht="12.75">
      <c r="B714" s="426"/>
      <c r="H714" s="428"/>
      <c r="I714" s="428"/>
      <c r="J714" s="428"/>
      <c r="K714" s="428"/>
      <c r="L714" s="428"/>
      <c r="M714" s="428"/>
      <c r="N714" s="428"/>
      <c r="O714" s="428"/>
      <c r="P714" s="428"/>
      <c r="Q714" s="428"/>
      <c r="R714" s="428"/>
      <c r="T714" s="428"/>
      <c r="X714" s="428"/>
      <c r="Y714" s="428"/>
      <c r="Z714" s="428"/>
    </row>
    <row r="715" spans="2:26" ht="12.75">
      <c r="B715" s="426"/>
      <c r="H715" s="428"/>
      <c r="I715" s="428"/>
      <c r="J715" s="428"/>
      <c r="K715" s="428"/>
      <c r="L715" s="428"/>
      <c r="M715" s="428"/>
      <c r="N715" s="428"/>
      <c r="O715" s="428"/>
      <c r="P715" s="428"/>
      <c r="Q715" s="428"/>
      <c r="R715" s="428"/>
      <c r="T715" s="428"/>
      <c r="X715" s="428"/>
      <c r="Y715" s="428"/>
      <c r="Z715" s="428"/>
    </row>
    <row r="716" spans="2:26" ht="12.75">
      <c r="B716" s="426"/>
      <c r="H716" s="428"/>
      <c r="I716" s="428"/>
      <c r="J716" s="428"/>
      <c r="K716" s="428"/>
      <c r="L716" s="428"/>
      <c r="M716" s="428"/>
      <c r="N716" s="428"/>
      <c r="O716" s="428"/>
      <c r="P716" s="428"/>
      <c r="Q716" s="428"/>
      <c r="R716" s="428"/>
      <c r="T716" s="428"/>
      <c r="X716" s="428"/>
      <c r="Y716" s="428"/>
      <c r="Z716" s="428"/>
    </row>
    <row r="717" spans="2:26" ht="12.75">
      <c r="B717" s="426"/>
      <c r="H717" s="428"/>
      <c r="I717" s="428"/>
      <c r="J717" s="428"/>
      <c r="K717" s="428"/>
      <c r="L717" s="428"/>
      <c r="M717" s="428"/>
      <c r="N717" s="428"/>
      <c r="O717" s="428"/>
      <c r="P717" s="428"/>
      <c r="Q717" s="428"/>
      <c r="R717" s="428"/>
      <c r="T717" s="428"/>
      <c r="X717" s="428"/>
      <c r="Y717" s="428"/>
      <c r="Z717" s="428"/>
    </row>
    <row r="718" spans="2:26" ht="12.75">
      <c r="B718" s="426"/>
      <c r="H718" s="428"/>
      <c r="I718" s="428"/>
      <c r="J718" s="428"/>
      <c r="K718" s="428"/>
      <c r="L718" s="428"/>
      <c r="M718" s="428"/>
      <c r="N718" s="428"/>
      <c r="O718" s="428"/>
      <c r="P718" s="428"/>
      <c r="Q718" s="428"/>
      <c r="R718" s="428"/>
      <c r="T718" s="428"/>
      <c r="X718" s="428"/>
      <c r="Y718" s="428"/>
      <c r="Z718" s="428"/>
    </row>
    <row r="719" spans="2:26" ht="12.75">
      <c r="B719" s="426"/>
      <c r="H719" s="428"/>
      <c r="I719" s="428"/>
      <c r="J719" s="428"/>
      <c r="K719" s="428"/>
      <c r="L719" s="428"/>
      <c r="M719" s="428"/>
      <c r="N719" s="428"/>
      <c r="O719" s="428"/>
      <c r="P719" s="428"/>
      <c r="Q719" s="428"/>
      <c r="R719" s="428"/>
      <c r="T719" s="428"/>
      <c r="X719" s="428"/>
      <c r="Y719" s="428"/>
      <c r="Z719" s="428"/>
    </row>
    <row r="720" spans="2:26" ht="12.75">
      <c r="B720" s="426"/>
      <c r="H720" s="428"/>
      <c r="I720" s="428"/>
      <c r="J720" s="428"/>
      <c r="K720" s="428"/>
      <c r="L720" s="428"/>
      <c r="M720" s="428"/>
      <c r="N720" s="428"/>
      <c r="O720" s="428"/>
      <c r="P720" s="428"/>
      <c r="Q720" s="428"/>
      <c r="R720" s="428"/>
      <c r="T720" s="428"/>
      <c r="X720" s="428"/>
      <c r="Y720" s="428"/>
      <c r="Z720" s="428"/>
    </row>
    <row r="721" spans="2:26" ht="12.75">
      <c r="B721" s="426"/>
      <c r="H721" s="428"/>
      <c r="I721" s="428"/>
      <c r="J721" s="428"/>
      <c r="K721" s="428"/>
      <c r="L721" s="428"/>
      <c r="M721" s="428"/>
      <c r="N721" s="428"/>
      <c r="O721" s="428"/>
      <c r="P721" s="428"/>
      <c r="Q721" s="428"/>
      <c r="R721" s="428"/>
      <c r="T721" s="428"/>
      <c r="X721" s="428"/>
      <c r="Y721" s="428"/>
      <c r="Z721" s="428"/>
    </row>
    <row r="722" spans="2:26" ht="12.75">
      <c r="B722" s="426"/>
      <c r="H722" s="428"/>
      <c r="I722" s="428"/>
      <c r="J722" s="428"/>
      <c r="K722" s="428"/>
      <c r="L722" s="428"/>
      <c r="M722" s="428"/>
      <c r="N722" s="428"/>
      <c r="O722" s="428"/>
      <c r="P722" s="428"/>
      <c r="Q722" s="428"/>
      <c r="R722" s="428"/>
      <c r="T722" s="428"/>
      <c r="X722" s="428"/>
      <c r="Y722" s="428"/>
      <c r="Z722" s="428"/>
    </row>
    <row r="723" spans="2:26" ht="12.75">
      <c r="B723" s="426"/>
      <c r="H723" s="428"/>
      <c r="I723" s="428"/>
      <c r="J723" s="428"/>
      <c r="K723" s="428"/>
      <c r="L723" s="428"/>
      <c r="M723" s="428"/>
      <c r="N723" s="428"/>
      <c r="O723" s="428"/>
      <c r="P723" s="428"/>
      <c r="Q723" s="428"/>
      <c r="R723" s="428"/>
      <c r="T723" s="428"/>
      <c r="X723" s="428"/>
      <c r="Y723" s="428"/>
      <c r="Z723" s="428"/>
    </row>
    <row r="724" spans="2:26" ht="12.75">
      <c r="B724" s="426"/>
      <c r="H724" s="428"/>
      <c r="I724" s="428"/>
      <c r="J724" s="428"/>
      <c r="K724" s="428"/>
      <c r="L724" s="428"/>
      <c r="M724" s="428"/>
      <c r="N724" s="428"/>
      <c r="O724" s="428"/>
      <c r="P724" s="428"/>
      <c r="Q724" s="428"/>
      <c r="R724" s="428"/>
      <c r="T724" s="428"/>
      <c r="X724" s="428"/>
      <c r="Y724" s="428"/>
      <c r="Z724" s="428"/>
    </row>
    <row r="725" spans="2:26" ht="12.75">
      <c r="B725" s="426"/>
      <c r="H725" s="428"/>
      <c r="I725" s="428"/>
      <c r="J725" s="428"/>
      <c r="K725" s="428"/>
      <c r="L725" s="428"/>
      <c r="M725" s="428"/>
      <c r="N725" s="428"/>
      <c r="O725" s="428"/>
      <c r="P725" s="428"/>
      <c r="Q725" s="428"/>
      <c r="R725" s="428"/>
      <c r="T725" s="428"/>
      <c r="X725" s="428"/>
      <c r="Y725" s="428"/>
      <c r="Z725" s="428"/>
    </row>
    <row r="726" spans="2:26" ht="12.75">
      <c r="B726" s="426"/>
      <c r="H726" s="428"/>
      <c r="I726" s="428"/>
      <c r="J726" s="428"/>
      <c r="K726" s="428"/>
      <c r="L726" s="428"/>
      <c r="M726" s="428"/>
      <c r="N726" s="428"/>
      <c r="O726" s="428"/>
      <c r="P726" s="428"/>
      <c r="Q726" s="428"/>
      <c r="R726" s="428"/>
      <c r="T726" s="428"/>
      <c r="X726" s="428"/>
      <c r="Y726" s="428"/>
      <c r="Z726" s="428"/>
    </row>
    <row r="727" spans="2:26" ht="12.75">
      <c r="B727" s="426"/>
      <c r="H727" s="428"/>
      <c r="I727" s="428"/>
      <c r="J727" s="428"/>
      <c r="K727" s="428"/>
      <c r="L727" s="428"/>
      <c r="M727" s="428"/>
      <c r="N727" s="428"/>
      <c r="O727" s="428"/>
      <c r="P727" s="428"/>
      <c r="Q727" s="428"/>
      <c r="R727" s="428"/>
      <c r="T727" s="428"/>
      <c r="X727" s="428"/>
      <c r="Y727" s="428"/>
      <c r="Z727" s="428"/>
    </row>
    <row r="728" spans="2:26" ht="12.75">
      <c r="B728" s="426"/>
      <c r="H728" s="428"/>
      <c r="I728" s="428"/>
      <c r="J728" s="428"/>
      <c r="K728" s="428"/>
      <c r="L728" s="428"/>
      <c r="M728" s="428"/>
      <c r="N728" s="428"/>
      <c r="O728" s="428"/>
      <c r="P728" s="428"/>
      <c r="Q728" s="428"/>
      <c r="R728" s="428"/>
      <c r="T728" s="428"/>
      <c r="X728" s="428"/>
      <c r="Y728" s="428"/>
      <c r="Z728" s="428"/>
    </row>
    <row r="729" spans="2:26" ht="12.75">
      <c r="B729" s="426"/>
      <c r="H729" s="428"/>
      <c r="I729" s="428"/>
      <c r="J729" s="428"/>
      <c r="K729" s="428"/>
      <c r="L729" s="428"/>
      <c r="M729" s="428"/>
      <c r="N729" s="428"/>
      <c r="O729" s="428"/>
      <c r="P729" s="428"/>
      <c r="Q729" s="428"/>
      <c r="R729" s="428"/>
      <c r="T729" s="428"/>
      <c r="X729" s="428"/>
      <c r="Y729" s="428"/>
      <c r="Z729" s="428"/>
    </row>
    <row r="730" spans="2:26" ht="12.75">
      <c r="B730" s="426"/>
      <c r="H730" s="428"/>
      <c r="I730" s="428"/>
      <c r="J730" s="428"/>
      <c r="K730" s="428"/>
      <c r="L730" s="428"/>
      <c r="M730" s="428"/>
      <c r="N730" s="428"/>
      <c r="O730" s="428"/>
      <c r="P730" s="428"/>
      <c r="Q730" s="428"/>
      <c r="R730" s="428"/>
      <c r="T730" s="428"/>
      <c r="X730" s="428"/>
      <c r="Y730" s="428"/>
      <c r="Z730" s="428"/>
    </row>
    <row r="731" spans="2:26" ht="12.75">
      <c r="B731" s="426"/>
      <c r="H731" s="428"/>
      <c r="I731" s="428"/>
      <c r="J731" s="428"/>
      <c r="K731" s="428"/>
      <c r="L731" s="428"/>
      <c r="M731" s="428"/>
      <c r="N731" s="428"/>
      <c r="O731" s="428"/>
      <c r="P731" s="428"/>
      <c r="Q731" s="428"/>
      <c r="R731" s="428"/>
      <c r="T731" s="428"/>
      <c r="X731" s="428"/>
      <c r="Y731" s="428"/>
      <c r="Z731" s="428"/>
    </row>
    <row r="732" spans="2:26" ht="12.75">
      <c r="B732" s="426"/>
      <c r="H732" s="428"/>
      <c r="I732" s="428"/>
      <c r="J732" s="428"/>
      <c r="K732" s="428"/>
      <c r="L732" s="428"/>
      <c r="M732" s="428"/>
      <c r="N732" s="428"/>
      <c r="O732" s="428"/>
      <c r="P732" s="428"/>
      <c r="Q732" s="428"/>
      <c r="R732" s="428"/>
      <c r="T732" s="428"/>
      <c r="X732" s="428"/>
      <c r="Y732" s="428"/>
      <c r="Z732" s="428"/>
    </row>
    <row r="733" spans="2:26" ht="12.75">
      <c r="B733" s="426"/>
      <c r="H733" s="428"/>
      <c r="I733" s="428"/>
      <c r="J733" s="428"/>
      <c r="K733" s="428"/>
      <c r="L733" s="428"/>
      <c r="M733" s="428"/>
      <c r="N733" s="428"/>
      <c r="O733" s="428"/>
      <c r="P733" s="428"/>
      <c r="Q733" s="428"/>
      <c r="R733" s="428"/>
      <c r="T733" s="428"/>
      <c r="X733" s="428"/>
      <c r="Y733" s="428"/>
      <c r="Z733" s="428"/>
    </row>
    <row r="734" spans="2:26" ht="12.75">
      <c r="B734" s="426"/>
      <c r="H734" s="428"/>
      <c r="I734" s="428"/>
      <c r="J734" s="428"/>
      <c r="K734" s="428"/>
      <c r="L734" s="428"/>
      <c r="M734" s="428"/>
      <c r="N734" s="428"/>
      <c r="O734" s="428"/>
      <c r="P734" s="428"/>
      <c r="Q734" s="428"/>
      <c r="R734" s="428"/>
      <c r="T734" s="428"/>
      <c r="X734" s="428"/>
      <c r="Y734" s="428"/>
      <c r="Z734" s="428"/>
    </row>
    <row r="735" spans="2:26" ht="12.75">
      <c r="B735" s="426"/>
      <c r="H735" s="428"/>
      <c r="I735" s="428"/>
      <c r="J735" s="428"/>
      <c r="K735" s="428"/>
      <c r="L735" s="428"/>
      <c r="M735" s="428"/>
      <c r="N735" s="428"/>
      <c r="O735" s="428"/>
      <c r="P735" s="428"/>
      <c r="Q735" s="428"/>
      <c r="R735" s="428"/>
      <c r="T735" s="428"/>
      <c r="X735" s="428"/>
      <c r="Y735" s="428"/>
      <c r="Z735" s="428"/>
    </row>
    <row r="736" spans="2:26" ht="12.75">
      <c r="B736" s="426"/>
      <c r="H736" s="428"/>
      <c r="I736" s="428"/>
      <c r="J736" s="428"/>
      <c r="K736" s="428"/>
      <c r="L736" s="428"/>
      <c r="M736" s="428"/>
      <c r="N736" s="428"/>
      <c r="O736" s="428"/>
      <c r="P736" s="428"/>
      <c r="Q736" s="428"/>
      <c r="R736" s="428"/>
      <c r="T736" s="428"/>
      <c r="X736" s="428"/>
      <c r="Y736" s="428"/>
      <c r="Z736" s="428"/>
    </row>
    <row r="737" spans="2:26" ht="12.75">
      <c r="B737" s="426"/>
      <c r="H737" s="428"/>
      <c r="I737" s="428"/>
      <c r="J737" s="428"/>
      <c r="K737" s="428"/>
      <c r="L737" s="428"/>
      <c r="M737" s="428"/>
      <c r="N737" s="428"/>
      <c r="O737" s="428"/>
      <c r="P737" s="428"/>
      <c r="Q737" s="428"/>
      <c r="R737" s="428"/>
      <c r="T737" s="428"/>
      <c r="X737" s="428"/>
      <c r="Y737" s="428"/>
      <c r="Z737" s="428"/>
    </row>
    <row r="738" spans="2:26" ht="12.75">
      <c r="B738" s="426"/>
      <c r="H738" s="428"/>
      <c r="I738" s="428"/>
      <c r="J738" s="428"/>
      <c r="K738" s="428"/>
      <c r="L738" s="428"/>
      <c r="M738" s="428"/>
      <c r="N738" s="428"/>
      <c r="O738" s="428"/>
      <c r="P738" s="428"/>
      <c r="Q738" s="428"/>
      <c r="R738" s="428"/>
      <c r="T738" s="428"/>
      <c r="X738" s="428"/>
      <c r="Y738" s="428"/>
      <c r="Z738" s="428"/>
    </row>
    <row r="739" spans="2:26" ht="12.75">
      <c r="B739" s="426"/>
      <c r="H739" s="428"/>
      <c r="I739" s="428"/>
      <c r="J739" s="428"/>
      <c r="K739" s="428"/>
      <c r="L739" s="428"/>
      <c r="M739" s="428"/>
      <c r="N739" s="428"/>
      <c r="O739" s="428"/>
      <c r="P739" s="428"/>
      <c r="Q739" s="428"/>
      <c r="R739" s="428"/>
      <c r="T739" s="428"/>
      <c r="X739" s="428"/>
      <c r="Y739" s="428"/>
      <c r="Z739" s="428"/>
    </row>
    <row r="740" spans="2:26" ht="12.75">
      <c r="B740" s="426"/>
      <c r="H740" s="428"/>
      <c r="I740" s="428"/>
      <c r="J740" s="428"/>
      <c r="K740" s="428"/>
      <c r="L740" s="428"/>
      <c r="M740" s="428"/>
      <c r="N740" s="428"/>
      <c r="O740" s="428"/>
      <c r="P740" s="428"/>
      <c r="Q740" s="428"/>
      <c r="R740" s="428"/>
      <c r="T740" s="428"/>
      <c r="X740" s="428"/>
      <c r="Y740" s="428"/>
      <c r="Z740" s="428"/>
    </row>
    <row r="741" spans="2:26" ht="12.75">
      <c r="B741" s="426"/>
      <c r="H741" s="428"/>
      <c r="I741" s="428"/>
      <c r="J741" s="428"/>
      <c r="K741" s="428"/>
      <c r="L741" s="428"/>
      <c r="M741" s="428"/>
      <c r="N741" s="428"/>
      <c r="O741" s="428"/>
      <c r="P741" s="428"/>
      <c r="Q741" s="428"/>
      <c r="R741" s="428"/>
      <c r="T741" s="428"/>
      <c r="X741" s="428"/>
      <c r="Y741" s="428"/>
      <c r="Z741" s="428"/>
    </row>
    <row r="742" spans="2:26" ht="12.75">
      <c r="B742" s="426"/>
      <c r="H742" s="428"/>
      <c r="I742" s="428"/>
      <c r="J742" s="428"/>
      <c r="K742" s="428"/>
      <c r="L742" s="428"/>
      <c r="M742" s="428"/>
      <c r="N742" s="428"/>
      <c r="O742" s="428"/>
      <c r="P742" s="428"/>
      <c r="Q742" s="428"/>
      <c r="R742" s="428"/>
      <c r="T742" s="428"/>
      <c r="X742" s="428"/>
      <c r="Y742" s="428"/>
      <c r="Z742" s="428"/>
    </row>
    <row r="743" spans="2:26" ht="12.75">
      <c r="B743" s="426"/>
      <c r="H743" s="428"/>
      <c r="I743" s="428"/>
      <c r="J743" s="428"/>
      <c r="K743" s="428"/>
      <c r="L743" s="428"/>
      <c r="M743" s="428"/>
      <c r="N743" s="428"/>
      <c r="O743" s="428"/>
      <c r="P743" s="428"/>
      <c r="Q743" s="428"/>
      <c r="R743" s="428"/>
      <c r="T743" s="428"/>
      <c r="X743" s="428"/>
      <c r="Y743" s="428"/>
      <c r="Z743" s="428"/>
    </row>
    <row r="744" spans="2:26" ht="12.75">
      <c r="B744" s="426"/>
      <c r="H744" s="428"/>
      <c r="I744" s="428"/>
      <c r="J744" s="428"/>
      <c r="K744" s="428"/>
      <c r="L744" s="428"/>
      <c r="M744" s="428"/>
      <c r="N744" s="428"/>
      <c r="O744" s="428"/>
      <c r="P744" s="428"/>
      <c r="Q744" s="428"/>
      <c r="R744" s="428"/>
      <c r="T744" s="428"/>
      <c r="X744" s="428"/>
      <c r="Y744" s="428"/>
      <c r="Z744" s="428"/>
    </row>
    <row r="745" spans="2:26" ht="12.75">
      <c r="B745" s="426"/>
      <c r="H745" s="428"/>
      <c r="I745" s="428"/>
      <c r="J745" s="428"/>
      <c r="K745" s="428"/>
      <c r="L745" s="428"/>
      <c r="M745" s="428"/>
      <c r="N745" s="428"/>
      <c r="O745" s="428"/>
      <c r="P745" s="428"/>
      <c r="Q745" s="428"/>
      <c r="R745" s="428"/>
      <c r="T745" s="428"/>
      <c r="X745" s="428"/>
      <c r="Y745" s="428"/>
      <c r="Z745" s="428"/>
    </row>
    <row r="746" spans="2:26" ht="12.75">
      <c r="B746" s="426"/>
      <c r="H746" s="428"/>
      <c r="I746" s="428"/>
      <c r="J746" s="428"/>
      <c r="K746" s="428"/>
      <c r="L746" s="428"/>
      <c r="M746" s="428"/>
      <c r="N746" s="428"/>
      <c r="O746" s="428"/>
      <c r="P746" s="428"/>
      <c r="Q746" s="428"/>
      <c r="R746" s="428"/>
      <c r="T746" s="428"/>
      <c r="X746" s="428"/>
      <c r="Y746" s="428"/>
      <c r="Z746" s="428"/>
    </row>
    <row r="747" spans="2:26" ht="12.75">
      <c r="B747" s="426"/>
      <c r="H747" s="428"/>
      <c r="I747" s="428"/>
      <c r="J747" s="428"/>
      <c r="K747" s="428"/>
      <c r="L747" s="428"/>
      <c r="M747" s="428"/>
      <c r="N747" s="428"/>
      <c r="O747" s="428"/>
      <c r="P747" s="428"/>
      <c r="Q747" s="428"/>
      <c r="R747" s="428"/>
      <c r="T747" s="428"/>
      <c r="X747" s="428"/>
      <c r="Y747" s="428"/>
      <c r="Z747" s="428"/>
    </row>
    <row r="748" spans="2:26" ht="12.75">
      <c r="B748" s="426"/>
      <c r="H748" s="428"/>
      <c r="I748" s="428"/>
      <c r="J748" s="428"/>
      <c r="K748" s="428"/>
      <c r="L748" s="428"/>
      <c r="M748" s="428"/>
      <c r="N748" s="428"/>
      <c r="O748" s="428"/>
      <c r="P748" s="428"/>
      <c r="Q748" s="428"/>
      <c r="R748" s="428"/>
      <c r="T748" s="428"/>
      <c r="X748" s="428"/>
      <c r="Y748" s="428"/>
      <c r="Z748" s="428"/>
    </row>
    <row r="749" spans="2:26" ht="12.75">
      <c r="B749" s="426"/>
      <c r="H749" s="428"/>
      <c r="I749" s="428"/>
      <c r="J749" s="428"/>
      <c r="K749" s="428"/>
      <c r="L749" s="428"/>
      <c r="M749" s="428"/>
      <c r="N749" s="428"/>
      <c r="O749" s="428"/>
      <c r="P749" s="428"/>
      <c r="Q749" s="428"/>
      <c r="R749" s="428"/>
      <c r="T749" s="428"/>
      <c r="X749" s="428"/>
      <c r="Y749" s="428"/>
      <c r="Z749" s="428"/>
    </row>
    <row r="750" spans="2:26" ht="12.75">
      <c r="B750" s="426"/>
      <c r="H750" s="428"/>
      <c r="I750" s="428"/>
      <c r="J750" s="428"/>
      <c r="K750" s="428"/>
      <c r="L750" s="428"/>
      <c r="M750" s="428"/>
      <c r="N750" s="428"/>
      <c r="O750" s="428"/>
      <c r="P750" s="428"/>
      <c r="Q750" s="428"/>
      <c r="R750" s="428"/>
      <c r="T750" s="428"/>
      <c r="X750" s="428"/>
      <c r="Y750" s="428"/>
      <c r="Z750" s="428"/>
    </row>
    <row r="751" spans="2:26" ht="12.75">
      <c r="B751" s="426"/>
      <c r="H751" s="428"/>
      <c r="I751" s="428"/>
      <c r="J751" s="428"/>
      <c r="K751" s="428"/>
      <c r="L751" s="428"/>
      <c r="M751" s="428"/>
      <c r="N751" s="428"/>
      <c r="O751" s="428"/>
      <c r="P751" s="428"/>
      <c r="Q751" s="428"/>
      <c r="R751" s="428"/>
      <c r="T751" s="428"/>
      <c r="X751" s="428"/>
      <c r="Y751" s="428"/>
      <c r="Z751" s="428"/>
    </row>
    <row r="752" spans="2:26" ht="12.75">
      <c r="B752" s="426"/>
      <c r="H752" s="428"/>
      <c r="I752" s="428"/>
      <c r="J752" s="428"/>
      <c r="K752" s="428"/>
      <c r="L752" s="428"/>
      <c r="M752" s="428"/>
      <c r="N752" s="428"/>
      <c r="O752" s="428"/>
      <c r="P752" s="428"/>
      <c r="Q752" s="428"/>
      <c r="R752" s="428"/>
      <c r="T752" s="428"/>
      <c r="X752" s="428"/>
      <c r="Y752" s="428"/>
      <c r="Z752" s="428"/>
    </row>
    <row r="753" spans="2:26" ht="12.75">
      <c r="B753" s="426"/>
      <c r="H753" s="428"/>
      <c r="I753" s="428"/>
      <c r="J753" s="428"/>
      <c r="K753" s="428"/>
      <c r="L753" s="428"/>
      <c r="M753" s="428"/>
      <c r="N753" s="428"/>
      <c r="O753" s="428"/>
      <c r="P753" s="428"/>
      <c r="Q753" s="428"/>
      <c r="R753" s="428"/>
      <c r="T753" s="428"/>
      <c r="X753" s="428"/>
      <c r="Y753" s="428"/>
      <c r="Z753" s="428"/>
    </row>
    <row r="754" spans="2:26" ht="12.75">
      <c r="B754" s="426"/>
      <c r="H754" s="428"/>
      <c r="I754" s="428"/>
      <c r="J754" s="428"/>
      <c r="K754" s="428"/>
      <c r="L754" s="428"/>
      <c r="M754" s="428"/>
      <c r="N754" s="428"/>
      <c r="O754" s="428"/>
      <c r="P754" s="428"/>
      <c r="Q754" s="428"/>
      <c r="R754" s="428"/>
      <c r="T754" s="428"/>
      <c r="X754" s="428"/>
      <c r="Y754" s="428"/>
      <c r="Z754" s="428"/>
    </row>
    <row r="755" spans="2:26" ht="12.75">
      <c r="B755" s="426"/>
      <c r="H755" s="428"/>
      <c r="I755" s="428"/>
      <c r="J755" s="428"/>
      <c r="K755" s="428"/>
      <c r="L755" s="428"/>
      <c r="M755" s="428"/>
      <c r="N755" s="428"/>
      <c r="O755" s="428"/>
      <c r="P755" s="428"/>
      <c r="Q755" s="428"/>
      <c r="R755" s="428"/>
      <c r="T755" s="428"/>
      <c r="X755" s="428"/>
      <c r="Y755" s="428"/>
      <c r="Z755" s="428"/>
    </row>
    <row r="756" spans="2:26" ht="12.75">
      <c r="B756" s="426"/>
      <c r="H756" s="428"/>
      <c r="I756" s="428"/>
      <c r="J756" s="428"/>
      <c r="K756" s="428"/>
      <c r="L756" s="428"/>
      <c r="M756" s="428"/>
      <c r="N756" s="428"/>
      <c r="O756" s="428"/>
      <c r="P756" s="428"/>
      <c r="Q756" s="428"/>
      <c r="R756" s="428"/>
      <c r="T756" s="428"/>
      <c r="X756" s="428"/>
      <c r="Y756" s="428"/>
      <c r="Z756" s="428"/>
    </row>
    <row r="757" spans="2:26" ht="12.75">
      <c r="B757" s="426"/>
      <c r="H757" s="428"/>
      <c r="I757" s="428"/>
      <c r="J757" s="428"/>
      <c r="K757" s="428"/>
      <c r="L757" s="428"/>
      <c r="M757" s="428"/>
      <c r="N757" s="428"/>
      <c r="O757" s="428"/>
      <c r="P757" s="428"/>
      <c r="Q757" s="428"/>
      <c r="R757" s="428"/>
      <c r="T757" s="428"/>
      <c r="X757" s="428"/>
      <c r="Y757" s="428"/>
      <c r="Z757" s="428"/>
    </row>
    <row r="758" spans="2:26" ht="12.75">
      <c r="B758" s="426"/>
      <c r="H758" s="428"/>
      <c r="I758" s="428"/>
      <c r="J758" s="428"/>
      <c r="K758" s="428"/>
      <c r="L758" s="428"/>
      <c r="M758" s="428"/>
      <c r="N758" s="428"/>
      <c r="O758" s="428"/>
      <c r="P758" s="428"/>
      <c r="Q758" s="428"/>
      <c r="R758" s="428"/>
      <c r="T758" s="428"/>
      <c r="X758" s="428"/>
      <c r="Y758" s="428"/>
      <c r="Z758" s="428"/>
    </row>
    <row r="759" spans="2:26" ht="12.75">
      <c r="B759" s="426"/>
      <c r="H759" s="428"/>
      <c r="I759" s="428"/>
      <c r="J759" s="428"/>
      <c r="K759" s="428"/>
      <c r="L759" s="428"/>
      <c r="M759" s="428"/>
      <c r="N759" s="428"/>
      <c r="O759" s="428"/>
      <c r="P759" s="428"/>
      <c r="Q759" s="428"/>
      <c r="R759" s="428"/>
      <c r="T759" s="428"/>
      <c r="X759" s="428"/>
      <c r="Y759" s="428"/>
      <c r="Z759" s="428"/>
    </row>
    <row r="760" spans="2:26" ht="12.75">
      <c r="B760" s="426"/>
      <c r="H760" s="428"/>
      <c r="I760" s="428"/>
      <c r="J760" s="428"/>
      <c r="K760" s="428"/>
      <c r="L760" s="428"/>
      <c r="M760" s="428"/>
      <c r="N760" s="428"/>
      <c r="O760" s="428"/>
      <c r="P760" s="428"/>
      <c r="Q760" s="428"/>
      <c r="R760" s="428"/>
      <c r="T760" s="428"/>
      <c r="X760" s="428"/>
      <c r="Y760" s="428"/>
      <c r="Z760" s="428"/>
    </row>
    <row r="761" spans="2:26" ht="12.75">
      <c r="B761" s="426"/>
      <c r="H761" s="428"/>
      <c r="I761" s="428"/>
      <c r="J761" s="428"/>
      <c r="K761" s="428"/>
      <c r="L761" s="428"/>
      <c r="M761" s="428"/>
      <c r="N761" s="428"/>
      <c r="O761" s="428"/>
      <c r="P761" s="428"/>
      <c r="Q761" s="428"/>
      <c r="R761" s="428"/>
      <c r="T761" s="428"/>
      <c r="X761" s="428"/>
      <c r="Y761" s="428"/>
      <c r="Z761" s="428"/>
    </row>
    <row r="762" spans="2:26" ht="12.75">
      <c r="B762" s="426"/>
      <c r="H762" s="428"/>
      <c r="I762" s="428"/>
      <c r="J762" s="428"/>
      <c r="K762" s="428"/>
      <c r="L762" s="428"/>
      <c r="M762" s="428"/>
      <c r="N762" s="428"/>
      <c r="O762" s="428"/>
      <c r="P762" s="428"/>
      <c r="Q762" s="428"/>
      <c r="R762" s="428"/>
      <c r="T762" s="428"/>
      <c r="X762" s="428"/>
      <c r="Y762" s="428"/>
      <c r="Z762" s="428"/>
    </row>
    <row r="763" spans="2:26" ht="12.75">
      <c r="B763" s="426"/>
      <c r="H763" s="428"/>
      <c r="I763" s="428"/>
      <c r="J763" s="428"/>
      <c r="K763" s="428"/>
      <c r="L763" s="428"/>
      <c r="M763" s="428"/>
      <c r="N763" s="428"/>
      <c r="O763" s="428"/>
      <c r="P763" s="428"/>
      <c r="Q763" s="428"/>
      <c r="R763" s="428"/>
      <c r="T763" s="428"/>
      <c r="X763" s="428"/>
      <c r="Y763" s="428"/>
      <c r="Z763" s="428"/>
    </row>
    <row r="764" spans="2:26" ht="12.75">
      <c r="B764" s="426"/>
      <c r="H764" s="428"/>
      <c r="I764" s="428"/>
      <c r="J764" s="428"/>
      <c r="K764" s="428"/>
      <c r="L764" s="428"/>
      <c r="M764" s="428"/>
      <c r="N764" s="428"/>
      <c r="O764" s="428"/>
      <c r="P764" s="428"/>
      <c r="Q764" s="428"/>
      <c r="R764" s="428"/>
      <c r="T764" s="428"/>
      <c r="X764" s="428"/>
      <c r="Y764" s="428"/>
      <c r="Z764" s="428"/>
    </row>
    <row r="765" spans="2:26" ht="12.75">
      <c r="B765" s="426"/>
      <c r="H765" s="428"/>
      <c r="I765" s="428"/>
      <c r="J765" s="428"/>
      <c r="K765" s="428"/>
      <c r="L765" s="428"/>
      <c r="M765" s="428"/>
      <c r="N765" s="428"/>
      <c r="O765" s="428"/>
      <c r="P765" s="428"/>
      <c r="Q765" s="428"/>
      <c r="R765" s="428"/>
      <c r="T765" s="428"/>
      <c r="X765" s="428"/>
      <c r="Y765" s="428"/>
      <c r="Z765" s="428"/>
    </row>
    <row r="766" spans="2:26" ht="12.75">
      <c r="B766" s="426"/>
      <c r="H766" s="428"/>
      <c r="I766" s="428"/>
      <c r="J766" s="428"/>
      <c r="K766" s="428"/>
      <c r="L766" s="428"/>
      <c r="M766" s="428"/>
      <c r="N766" s="428"/>
      <c r="O766" s="428"/>
      <c r="P766" s="428"/>
      <c r="Q766" s="428"/>
      <c r="R766" s="428"/>
      <c r="T766" s="428"/>
      <c r="X766" s="428"/>
      <c r="Y766" s="428"/>
      <c r="Z766" s="428"/>
    </row>
    <row r="767" spans="2:26" ht="12.75">
      <c r="B767" s="426"/>
      <c r="H767" s="428"/>
      <c r="I767" s="428"/>
      <c r="J767" s="428"/>
      <c r="K767" s="428"/>
      <c r="L767" s="428"/>
      <c r="M767" s="428"/>
      <c r="N767" s="428"/>
      <c r="O767" s="428"/>
      <c r="P767" s="428"/>
      <c r="Q767" s="428"/>
      <c r="R767" s="428"/>
      <c r="T767" s="428"/>
      <c r="X767" s="428"/>
      <c r="Y767" s="428"/>
      <c r="Z767" s="428"/>
    </row>
    <row r="768" spans="2:26" ht="12.75">
      <c r="B768" s="426"/>
      <c r="H768" s="428"/>
      <c r="I768" s="428"/>
      <c r="J768" s="428"/>
      <c r="K768" s="428"/>
      <c r="L768" s="428"/>
      <c r="M768" s="428"/>
      <c r="N768" s="428"/>
      <c r="O768" s="428"/>
      <c r="P768" s="428"/>
      <c r="Q768" s="428"/>
      <c r="R768" s="428"/>
      <c r="T768" s="428"/>
      <c r="X768" s="428"/>
      <c r="Y768" s="428"/>
      <c r="Z768" s="428"/>
    </row>
    <row r="769" spans="2:26" ht="12.75">
      <c r="B769" s="426"/>
      <c r="H769" s="428"/>
      <c r="I769" s="428"/>
      <c r="J769" s="428"/>
      <c r="K769" s="428"/>
      <c r="L769" s="428"/>
      <c r="M769" s="428"/>
      <c r="N769" s="428"/>
      <c r="O769" s="428"/>
      <c r="P769" s="428"/>
      <c r="Q769" s="428"/>
      <c r="R769" s="428"/>
      <c r="T769" s="428"/>
      <c r="X769" s="428"/>
      <c r="Y769" s="428"/>
      <c r="Z769" s="428"/>
    </row>
    <row r="770" spans="2:26" ht="12.75">
      <c r="B770" s="426"/>
      <c r="H770" s="428"/>
      <c r="I770" s="428"/>
      <c r="J770" s="428"/>
      <c r="K770" s="428"/>
      <c r="L770" s="428"/>
      <c r="M770" s="428"/>
      <c r="N770" s="428"/>
      <c r="O770" s="428"/>
      <c r="P770" s="428"/>
      <c r="Q770" s="428"/>
      <c r="R770" s="428"/>
      <c r="T770" s="428"/>
      <c r="X770" s="428"/>
      <c r="Y770" s="428"/>
      <c r="Z770" s="428"/>
    </row>
    <row r="771" spans="2:26" ht="12.75">
      <c r="B771" s="426"/>
      <c r="H771" s="428"/>
      <c r="I771" s="428"/>
      <c r="J771" s="428"/>
      <c r="K771" s="428"/>
      <c r="L771" s="428"/>
      <c r="M771" s="428"/>
      <c r="N771" s="428"/>
      <c r="O771" s="428"/>
      <c r="P771" s="428"/>
      <c r="Q771" s="428"/>
      <c r="R771" s="428"/>
      <c r="T771" s="428"/>
      <c r="X771" s="428"/>
      <c r="Y771" s="428"/>
      <c r="Z771" s="428"/>
    </row>
    <row r="772" spans="2:26" ht="12.75">
      <c r="B772" s="426"/>
      <c r="H772" s="428"/>
      <c r="I772" s="428"/>
      <c r="J772" s="428"/>
      <c r="K772" s="428"/>
      <c r="L772" s="428"/>
      <c r="M772" s="428"/>
      <c r="N772" s="428"/>
      <c r="O772" s="428"/>
      <c r="P772" s="428"/>
      <c r="Q772" s="428"/>
      <c r="R772" s="428"/>
      <c r="T772" s="428"/>
      <c r="X772" s="428"/>
      <c r="Y772" s="428"/>
      <c r="Z772" s="428"/>
    </row>
    <row r="773" spans="2:26" ht="12.75">
      <c r="B773" s="426"/>
      <c r="H773" s="428"/>
      <c r="I773" s="428"/>
      <c r="J773" s="428"/>
      <c r="K773" s="428"/>
      <c r="L773" s="428"/>
      <c r="M773" s="428"/>
      <c r="N773" s="428"/>
      <c r="O773" s="428"/>
      <c r="P773" s="428"/>
      <c r="Q773" s="428"/>
      <c r="R773" s="428"/>
      <c r="T773" s="428"/>
      <c r="X773" s="428"/>
      <c r="Y773" s="428"/>
      <c r="Z773" s="428"/>
    </row>
    <row r="774" spans="2:26" ht="12.75">
      <c r="B774" s="426"/>
      <c r="H774" s="428"/>
      <c r="I774" s="428"/>
      <c r="J774" s="428"/>
      <c r="K774" s="428"/>
      <c r="L774" s="428"/>
      <c r="M774" s="428"/>
      <c r="N774" s="428"/>
      <c r="O774" s="428"/>
      <c r="P774" s="428"/>
      <c r="Q774" s="428"/>
      <c r="R774" s="428"/>
      <c r="T774" s="428"/>
      <c r="X774" s="428"/>
      <c r="Y774" s="428"/>
      <c r="Z774" s="428"/>
    </row>
    <row r="775" spans="2:26" ht="12.75">
      <c r="B775" s="426"/>
      <c r="H775" s="428"/>
      <c r="I775" s="428"/>
      <c r="J775" s="428"/>
      <c r="K775" s="428"/>
      <c r="L775" s="428"/>
      <c r="M775" s="428"/>
      <c r="N775" s="428"/>
      <c r="O775" s="428"/>
      <c r="P775" s="428"/>
      <c r="Q775" s="428"/>
      <c r="R775" s="428"/>
      <c r="T775" s="428"/>
      <c r="X775" s="428"/>
      <c r="Y775" s="428"/>
      <c r="Z775" s="428"/>
    </row>
    <row r="776" spans="2:26" ht="12.75">
      <c r="B776" s="426"/>
      <c r="H776" s="428"/>
      <c r="I776" s="428"/>
      <c r="J776" s="428"/>
      <c r="K776" s="428"/>
      <c r="L776" s="428"/>
      <c r="M776" s="428"/>
      <c r="N776" s="428"/>
      <c r="O776" s="428"/>
      <c r="P776" s="428"/>
      <c r="Q776" s="428"/>
      <c r="R776" s="428"/>
      <c r="T776" s="428"/>
      <c r="X776" s="428"/>
      <c r="Y776" s="428"/>
      <c r="Z776" s="428"/>
    </row>
    <row r="777" spans="2:26" ht="12.75">
      <c r="B777" s="426"/>
      <c r="H777" s="428"/>
      <c r="I777" s="428"/>
      <c r="J777" s="428"/>
      <c r="K777" s="428"/>
      <c r="L777" s="428"/>
      <c r="M777" s="428"/>
      <c r="N777" s="428"/>
      <c r="O777" s="428"/>
      <c r="P777" s="428"/>
      <c r="Q777" s="428"/>
      <c r="R777" s="428"/>
      <c r="T777" s="428"/>
      <c r="X777" s="428"/>
      <c r="Y777" s="428"/>
      <c r="Z777" s="428"/>
    </row>
    <row r="778" spans="2:26" ht="12.75">
      <c r="B778" s="426"/>
      <c r="H778" s="428"/>
      <c r="I778" s="428"/>
      <c r="J778" s="428"/>
      <c r="K778" s="428"/>
      <c r="L778" s="428"/>
      <c r="M778" s="428"/>
      <c r="N778" s="428"/>
      <c r="O778" s="428"/>
      <c r="P778" s="428"/>
      <c r="Q778" s="428"/>
      <c r="R778" s="428"/>
      <c r="T778" s="428"/>
      <c r="X778" s="428"/>
      <c r="Y778" s="428"/>
      <c r="Z778" s="428"/>
    </row>
    <row r="779" spans="2:26" ht="12.75">
      <c r="B779" s="426"/>
      <c r="H779" s="428"/>
      <c r="I779" s="428"/>
      <c r="J779" s="428"/>
      <c r="K779" s="428"/>
      <c r="L779" s="428"/>
      <c r="M779" s="428"/>
      <c r="N779" s="428"/>
      <c r="O779" s="428"/>
      <c r="P779" s="428"/>
      <c r="Q779" s="428"/>
      <c r="R779" s="428"/>
      <c r="T779" s="428"/>
      <c r="X779" s="428"/>
      <c r="Y779" s="428"/>
      <c r="Z779" s="428"/>
    </row>
    <row r="780" spans="2:26" ht="12.75">
      <c r="B780" s="426"/>
      <c r="H780" s="428"/>
      <c r="I780" s="428"/>
      <c r="J780" s="428"/>
      <c r="K780" s="428"/>
      <c r="L780" s="428"/>
      <c r="M780" s="428"/>
      <c r="N780" s="428"/>
      <c r="O780" s="428"/>
      <c r="P780" s="428"/>
      <c r="Q780" s="428"/>
      <c r="R780" s="428"/>
      <c r="T780" s="428"/>
      <c r="X780" s="428"/>
      <c r="Y780" s="428"/>
      <c r="Z780" s="428"/>
    </row>
    <row r="781" spans="2:26" ht="12.75">
      <c r="B781" s="426"/>
      <c r="H781" s="428"/>
      <c r="I781" s="428"/>
      <c r="J781" s="428"/>
      <c r="K781" s="428"/>
      <c r="L781" s="428"/>
      <c r="M781" s="428"/>
      <c r="N781" s="428"/>
      <c r="O781" s="428"/>
      <c r="P781" s="428"/>
      <c r="Q781" s="428"/>
      <c r="R781" s="428"/>
      <c r="T781" s="428"/>
      <c r="X781" s="428"/>
      <c r="Y781" s="428"/>
      <c r="Z781" s="428"/>
    </row>
    <row r="782" spans="2:26" ht="12.75">
      <c r="B782" s="426"/>
      <c r="H782" s="428"/>
      <c r="I782" s="428"/>
      <c r="J782" s="428"/>
      <c r="K782" s="428"/>
      <c r="L782" s="428"/>
      <c r="M782" s="428"/>
      <c r="N782" s="428"/>
      <c r="O782" s="428"/>
      <c r="P782" s="428"/>
      <c r="Q782" s="428"/>
      <c r="R782" s="428"/>
      <c r="T782" s="428"/>
      <c r="X782" s="428"/>
      <c r="Y782" s="428"/>
      <c r="Z782" s="428"/>
    </row>
    <row r="783" spans="2:26" ht="12.75">
      <c r="B783" s="426"/>
      <c r="H783" s="428"/>
      <c r="I783" s="428"/>
      <c r="J783" s="428"/>
      <c r="K783" s="428"/>
      <c r="L783" s="428"/>
      <c r="M783" s="428"/>
      <c r="N783" s="428"/>
      <c r="O783" s="428"/>
      <c r="P783" s="428"/>
      <c r="Q783" s="428"/>
      <c r="R783" s="428"/>
      <c r="T783" s="428"/>
      <c r="X783" s="428"/>
      <c r="Y783" s="428"/>
      <c r="Z783" s="428"/>
    </row>
    <row r="784" spans="2:26" ht="12.75">
      <c r="B784" s="426"/>
      <c r="H784" s="428"/>
      <c r="I784" s="428"/>
      <c r="J784" s="428"/>
      <c r="K784" s="428"/>
      <c r="L784" s="428"/>
      <c r="M784" s="428"/>
      <c r="N784" s="428"/>
      <c r="O784" s="428"/>
      <c r="P784" s="428"/>
      <c r="Q784" s="428"/>
      <c r="R784" s="428"/>
      <c r="T784" s="428"/>
      <c r="X784" s="428"/>
      <c r="Y784" s="428"/>
      <c r="Z784" s="428"/>
    </row>
    <row r="785" spans="2:26" ht="12.75">
      <c r="B785" s="426"/>
      <c r="H785" s="428"/>
      <c r="I785" s="428"/>
      <c r="J785" s="428"/>
      <c r="K785" s="428"/>
      <c r="L785" s="428"/>
      <c r="M785" s="428"/>
      <c r="N785" s="428"/>
      <c r="O785" s="428"/>
      <c r="P785" s="428"/>
      <c r="Q785" s="428"/>
      <c r="R785" s="428"/>
      <c r="T785" s="428"/>
      <c r="X785" s="428"/>
      <c r="Y785" s="428"/>
      <c r="Z785" s="428"/>
    </row>
    <row r="786" spans="2:26" ht="12.75">
      <c r="B786" s="426"/>
      <c r="H786" s="428"/>
      <c r="I786" s="428"/>
      <c r="J786" s="428"/>
      <c r="K786" s="428"/>
      <c r="L786" s="428"/>
      <c r="M786" s="428"/>
      <c r="N786" s="428"/>
      <c r="O786" s="428"/>
      <c r="P786" s="428"/>
      <c r="Q786" s="428"/>
      <c r="R786" s="428"/>
      <c r="T786" s="428"/>
      <c r="X786" s="428"/>
      <c r="Y786" s="428"/>
      <c r="Z786" s="428"/>
    </row>
    <row r="787" spans="2:26" ht="12.75">
      <c r="B787" s="426"/>
      <c r="H787" s="428"/>
      <c r="I787" s="428"/>
      <c r="J787" s="428"/>
      <c r="K787" s="428"/>
      <c r="L787" s="428"/>
      <c r="M787" s="428"/>
      <c r="N787" s="428"/>
      <c r="O787" s="428"/>
      <c r="P787" s="428"/>
      <c r="Q787" s="428"/>
      <c r="R787" s="428"/>
      <c r="T787" s="428"/>
      <c r="X787" s="428"/>
      <c r="Y787" s="428"/>
      <c r="Z787" s="428"/>
    </row>
    <row r="788" spans="2:26" ht="12.75">
      <c r="B788" s="426"/>
      <c r="H788" s="428"/>
      <c r="I788" s="428"/>
      <c r="J788" s="428"/>
      <c r="K788" s="428"/>
      <c r="L788" s="428"/>
      <c r="M788" s="428"/>
      <c r="N788" s="428"/>
      <c r="O788" s="428"/>
      <c r="P788" s="428"/>
      <c r="Q788" s="428"/>
      <c r="R788" s="428"/>
      <c r="T788" s="428"/>
      <c r="X788" s="428"/>
      <c r="Y788" s="428"/>
      <c r="Z788" s="428"/>
    </row>
    <row r="789" spans="2:26" ht="12.75">
      <c r="B789" s="426"/>
      <c r="H789" s="428"/>
      <c r="I789" s="428"/>
      <c r="J789" s="428"/>
      <c r="K789" s="428"/>
      <c r="L789" s="428"/>
      <c r="M789" s="428"/>
      <c r="N789" s="428"/>
      <c r="O789" s="428"/>
      <c r="P789" s="428"/>
      <c r="Q789" s="428"/>
      <c r="R789" s="428"/>
      <c r="T789" s="428"/>
      <c r="X789" s="428"/>
      <c r="Y789" s="428"/>
      <c r="Z789" s="428"/>
    </row>
    <row r="790" spans="2:26" ht="12.75">
      <c r="B790" s="426"/>
      <c r="H790" s="428"/>
      <c r="I790" s="428"/>
      <c r="J790" s="428"/>
      <c r="K790" s="428"/>
      <c r="L790" s="428"/>
      <c r="M790" s="428"/>
      <c r="N790" s="428"/>
      <c r="O790" s="428"/>
      <c r="P790" s="428"/>
      <c r="Q790" s="428"/>
      <c r="R790" s="428"/>
      <c r="T790" s="428"/>
      <c r="X790" s="428"/>
      <c r="Y790" s="428"/>
      <c r="Z790" s="428"/>
    </row>
    <row r="791" spans="2:26" ht="12.75">
      <c r="B791" s="426"/>
      <c r="H791" s="428"/>
      <c r="I791" s="428"/>
      <c r="J791" s="428"/>
      <c r="K791" s="428"/>
      <c r="L791" s="428"/>
      <c r="M791" s="428"/>
      <c r="N791" s="428"/>
      <c r="O791" s="428"/>
      <c r="P791" s="428"/>
      <c r="Q791" s="428"/>
      <c r="R791" s="428"/>
      <c r="T791" s="428"/>
      <c r="X791" s="428"/>
      <c r="Y791" s="428"/>
      <c r="Z791" s="428"/>
    </row>
    <row r="792" spans="2:26" ht="12.75">
      <c r="B792" s="426"/>
      <c r="H792" s="428"/>
      <c r="I792" s="428"/>
      <c r="J792" s="428"/>
      <c r="K792" s="428"/>
      <c r="L792" s="428"/>
      <c r="M792" s="428"/>
      <c r="N792" s="428"/>
      <c r="O792" s="428"/>
      <c r="P792" s="428"/>
      <c r="Q792" s="428"/>
      <c r="R792" s="428"/>
      <c r="T792" s="428"/>
      <c r="X792" s="428"/>
      <c r="Y792" s="428"/>
      <c r="Z792" s="428"/>
    </row>
    <row r="793" spans="2:26" ht="12.75">
      <c r="B793" s="426"/>
      <c r="H793" s="428"/>
      <c r="I793" s="428"/>
      <c r="J793" s="428"/>
      <c r="K793" s="428"/>
      <c r="L793" s="428"/>
      <c r="M793" s="428"/>
      <c r="N793" s="428"/>
      <c r="O793" s="428"/>
      <c r="P793" s="428"/>
      <c r="Q793" s="428"/>
      <c r="R793" s="428"/>
      <c r="T793" s="428"/>
      <c r="X793" s="428"/>
      <c r="Y793" s="428"/>
      <c r="Z793" s="428"/>
    </row>
    <row r="794" spans="2:26" ht="12.75">
      <c r="B794" s="426"/>
      <c r="H794" s="428"/>
      <c r="I794" s="428"/>
      <c r="J794" s="428"/>
      <c r="K794" s="428"/>
      <c r="L794" s="428"/>
      <c r="M794" s="428"/>
      <c r="N794" s="428"/>
      <c r="O794" s="428"/>
      <c r="P794" s="428"/>
      <c r="Q794" s="428"/>
      <c r="R794" s="428"/>
      <c r="T794" s="428"/>
      <c r="X794" s="428"/>
      <c r="Y794" s="428"/>
      <c r="Z794" s="428"/>
    </row>
    <row r="795" spans="2:26" ht="12.75">
      <c r="B795" s="426"/>
      <c r="H795" s="428"/>
      <c r="I795" s="428"/>
      <c r="J795" s="428"/>
      <c r="K795" s="428"/>
      <c r="L795" s="428"/>
      <c r="M795" s="428"/>
      <c r="N795" s="428"/>
      <c r="O795" s="428"/>
      <c r="P795" s="428"/>
      <c r="Q795" s="428"/>
      <c r="R795" s="428"/>
      <c r="T795" s="428"/>
      <c r="X795" s="428"/>
      <c r="Y795" s="428"/>
      <c r="Z795" s="428"/>
    </row>
    <row r="796" spans="2:26" ht="12.75">
      <c r="B796" s="426"/>
      <c r="H796" s="428"/>
      <c r="I796" s="428"/>
      <c r="J796" s="428"/>
      <c r="K796" s="428"/>
      <c r="L796" s="428"/>
      <c r="M796" s="428"/>
      <c r="N796" s="428"/>
      <c r="O796" s="428"/>
      <c r="P796" s="428"/>
      <c r="Q796" s="428"/>
      <c r="R796" s="428"/>
      <c r="T796" s="428"/>
      <c r="X796" s="428"/>
      <c r="Y796" s="428"/>
      <c r="Z796" s="428"/>
    </row>
    <row r="797" spans="2:26" ht="12.75">
      <c r="B797" s="426"/>
      <c r="H797" s="428"/>
      <c r="I797" s="428"/>
      <c r="J797" s="428"/>
      <c r="K797" s="428"/>
      <c r="L797" s="428"/>
      <c r="M797" s="428"/>
      <c r="N797" s="428"/>
      <c r="O797" s="428"/>
      <c r="P797" s="428"/>
      <c r="Q797" s="428"/>
      <c r="R797" s="428"/>
      <c r="T797" s="428"/>
      <c r="X797" s="428"/>
      <c r="Y797" s="428"/>
      <c r="Z797" s="428"/>
    </row>
    <row r="798" spans="2:26" ht="12.75">
      <c r="B798" s="426"/>
      <c r="H798" s="428"/>
      <c r="I798" s="428"/>
      <c r="J798" s="428"/>
      <c r="K798" s="428"/>
      <c r="L798" s="428"/>
      <c r="M798" s="428"/>
      <c r="N798" s="428"/>
      <c r="O798" s="428"/>
      <c r="P798" s="428"/>
      <c r="Q798" s="428"/>
      <c r="R798" s="428"/>
      <c r="T798" s="428"/>
      <c r="X798" s="428"/>
      <c r="Y798" s="428"/>
      <c r="Z798" s="428"/>
    </row>
    <row r="799" spans="2:26" ht="12.75">
      <c r="B799" s="426"/>
      <c r="H799" s="428"/>
      <c r="I799" s="428"/>
      <c r="J799" s="428"/>
      <c r="K799" s="428"/>
      <c r="L799" s="428"/>
      <c r="M799" s="428"/>
      <c r="N799" s="428"/>
      <c r="O799" s="428"/>
      <c r="P799" s="428"/>
      <c r="Q799" s="428"/>
      <c r="R799" s="428"/>
      <c r="T799" s="428"/>
      <c r="X799" s="428"/>
      <c r="Y799" s="428"/>
      <c r="Z799" s="428"/>
    </row>
    <row r="800" spans="2:26" ht="12.75">
      <c r="B800" s="426"/>
      <c r="H800" s="428"/>
      <c r="I800" s="428"/>
      <c r="J800" s="428"/>
      <c r="K800" s="428"/>
      <c r="L800" s="428"/>
      <c r="M800" s="428"/>
      <c r="N800" s="428"/>
      <c r="O800" s="428"/>
      <c r="P800" s="428"/>
      <c r="Q800" s="428"/>
      <c r="R800" s="428"/>
      <c r="T800" s="428"/>
      <c r="X800" s="428"/>
      <c r="Y800" s="428"/>
      <c r="Z800" s="428"/>
    </row>
    <row r="801" spans="2:26" ht="12.75">
      <c r="B801" s="426"/>
      <c r="H801" s="428"/>
      <c r="I801" s="428"/>
      <c r="J801" s="428"/>
      <c r="K801" s="428"/>
      <c r="L801" s="428"/>
      <c r="M801" s="428"/>
      <c r="N801" s="428"/>
      <c r="O801" s="428"/>
      <c r="P801" s="428"/>
      <c r="Q801" s="428"/>
      <c r="R801" s="428"/>
      <c r="T801" s="428"/>
      <c r="X801" s="428"/>
      <c r="Y801" s="428"/>
      <c r="Z801" s="428"/>
    </row>
    <row r="802" spans="2:26" ht="12.75">
      <c r="B802" s="426"/>
      <c r="H802" s="428"/>
      <c r="I802" s="428"/>
      <c r="J802" s="428"/>
      <c r="K802" s="428"/>
      <c r="L802" s="428"/>
      <c r="M802" s="428"/>
      <c r="N802" s="428"/>
      <c r="O802" s="428"/>
      <c r="P802" s="428"/>
      <c r="Q802" s="428"/>
      <c r="R802" s="428"/>
      <c r="T802" s="428"/>
      <c r="X802" s="428"/>
      <c r="Y802" s="428"/>
      <c r="Z802" s="428"/>
    </row>
    <row r="803" spans="2:26" ht="12.75">
      <c r="B803" s="426"/>
      <c r="H803" s="428"/>
      <c r="I803" s="428"/>
      <c r="J803" s="428"/>
      <c r="K803" s="428"/>
      <c r="L803" s="428"/>
      <c r="M803" s="428"/>
      <c r="N803" s="428"/>
      <c r="O803" s="428"/>
      <c r="P803" s="428"/>
      <c r="Q803" s="428"/>
      <c r="R803" s="428"/>
      <c r="T803" s="428"/>
      <c r="X803" s="428"/>
      <c r="Y803" s="428"/>
      <c r="Z803" s="428"/>
    </row>
    <row r="804" spans="2:26" ht="12.75">
      <c r="B804" s="426"/>
      <c r="H804" s="428"/>
      <c r="I804" s="428"/>
      <c r="J804" s="428"/>
      <c r="K804" s="428"/>
      <c r="L804" s="428"/>
      <c r="M804" s="428"/>
      <c r="N804" s="428"/>
      <c r="O804" s="428"/>
      <c r="P804" s="428"/>
      <c r="Q804" s="428"/>
      <c r="R804" s="428"/>
      <c r="T804" s="428"/>
      <c r="X804" s="428"/>
      <c r="Y804" s="428"/>
      <c r="Z804" s="428"/>
    </row>
    <row r="805" spans="2:26" ht="12.75">
      <c r="B805" s="426"/>
      <c r="H805" s="428"/>
      <c r="I805" s="428"/>
      <c r="J805" s="428"/>
      <c r="K805" s="428"/>
      <c r="L805" s="428"/>
      <c r="M805" s="428"/>
      <c r="N805" s="428"/>
      <c r="O805" s="428"/>
      <c r="P805" s="428"/>
      <c r="Q805" s="428"/>
      <c r="R805" s="428"/>
      <c r="T805" s="428"/>
      <c r="X805" s="428"/>
      <c r="Y805" s="428"/>
      <c r="Z805" s="428"/>
    </row>
    <row r="806" spans="2:26" ht="12.75">
      <c r="B806" s="426"/>
      <c r="H806" s="428"/>
      <c r="I806" s="428"/>
      <c r="J806" s="428"/>
      <c r="K806" s="428"/>
      <c r="L806" s="428"/>
      <c r="M806" s="428"/>
      <c r="N806" s="428"/>
      <c r="O806" s="428"/>
      <c r="P806" s="428"/>
      <c r="Q806" s="428"/>
      <c r="R806" s="428"/>
      <c r="T806" s="428"/>
      <c r="X806" s="428"/>
      <c r="Y806" s="428"/>
      <c r="Z806" s="428"/>
    </row>
    <row r="807" spans="2:26" ht="12.75">
      <c r="B807" s="426"/>
      <c r="H807" s="428"/>
      <c r="I807" s="428"/>
      <c r="J807" s="428"/>
      <c r="K807" s="428"/>
      <c r="L807" s="428"/>
      <c r="M807" s="428"/>
      <c r="N807" s="428"/>
      <c r="O807" s="428"/>
      <c r="P807" s="428"/>
      <c r="Q807" s="428"/>
      <c r="R807" s="428"/>
      <c r="T807" s="428"/>
      <c r="X807" s="428"/>
      <c r="Y807" s="428"/>
      <c r="Z807" s="428"/>
    </row>
    <row r="808" spans="2:26" ht="12.75">
      <c r="B808" s="426"/>
      <c r="H808" s="428"/>
      <c r="I808" s="428"/>
      <c r="J808" s="428"/>
      <c r="K808" s="428"/>
      <c r="L808" s="428"/>
      <c r="M808" s="428"/>
      <c r="N808" s="428"/>
      <c r="O808" s="428"/>
      <c r="P808" s="428"/>
      <c r="Q808" s="428"/>
      <c r="R808" s="428"/>
      <c r="T808" s="428"/>
      <c r="X808" s="428"/>
      <c r="Y808" s="428"/>
      <c r="Z808" s="428"/>
    </row>
    <row r="809" spans="2:26" ht="12.75">
      <c r="B809" s="426"/>
      <c r="H809" s="428"/>
      <c r="I809" s="428"/>
      <c r="J809" s="428"/>
      <c r="K809" s="428"/>
      <c r="L809" s="428"/>
      <c r="M809" s="428"/>
      <c r="N809" s="428"/>
      <c r="O809" s="428"/>
      <c r="P809" s="428"/>
      <c r="Q809" s="428"/>
      <c r="R809" s="428"/>
      <c r="T809" s="428"/>
      <c r="X809" s="428"/>
      <c r="Y809" s="428"/>
      <c r="Z809" s="428"/>
    </row>
    <row r="810" spans="2:26" ht="12.75">
      <c r="B810" s="426"/>
      <c r="H810" s="428"/>
      <c r="I810" s="428"/>
      <c r="J810" s="428"/>
      <c r="K810" s="428"/>
      <c r="L810" s="428"/>
      <c r="M810" s="428"/>
      <c r="N810" s="428"/>
      <c r="O810" s="428"/>
      <c r="P810" s="428"/>
      <c r="Q810" s="428"/>
      <c r="R810" s="428"/>
      <c r="T810" s="428"/>
      <c r="X810" s="428"/>
      <c r="Y810" s="428"/>
      <c r="Z810" s="428"/>
    </row>
    <row r="811" spans="2:26" ht="12.75">
      <c r="B811" s="426"/>
      <c r="H811" s="428"/>
      <c r="I811" s="428"/>
      <c r="J811" s="428"/>
      <c r="K811" s="428"/>
      <c r="L811" s="428"/>
      <c r="M811" s="428"/>
      <c r="N811" s="428"/>
      <c r="O811" s="428"/>
      <c r="P811" s="428"/>
      <c r="Q811" s="428"/>
      <c r="R811" s="428"/>
      <c r="T811" s="428"/>
      <c r="X811" s="428"/>
      <c r="Y811" s="428"/>
      <c r="Z811" s="428"/>
    </row>
    <row r="812" spans="2:26" ht="12.75">
      <c r="B812" s="426"/>
      <c r="H812" s="428"/>
      <c r="I812" s="428"/>
      <c r="J812" s="428"/>
      <c r="K812" s="428"/>
      <c r="L812" s="428"/>
      <c r="M812" s="428"/>
      <c r="N812" s="428"/>
      <c r="O812" s="428"/>
      <c r="P812" s="428"/>
      <c r="Q812" s="428"/>
      <c r="R812" s="428"/>
      <c r="T812" s="428"/>
      <c r="X812" s="428"/>
      <c r="Y812" s="428"/>
      <c r="Z812" s="428"/>
    </row>
    <row r="813" spans="2:26" ht="12.75">
      <c r="B813" s="426"/>
      <c r="H813" s="428"/>
      <c r="I813" s="428"/>
      <c r="J813" s="428"/>
      <c r="K813" s="428"/>
      <c r="L813" s="428"/>
      <c r="M813" s="428"/>
      <c r="N813" s="428"/>
      <c r="O813" s="428"/>
      <c r="P813" s="428"/>
      <c r="Q813" s="428"/>
      <c r="R813" s="428"/>
      <c r="T813" s="428"/>
      <c r="X813" s="428"/>
      <c r="Y813" s="428"/>
      <c r="Z813" s="428"/>
    </row>
    <row r="814" spans="2:26" ht="12.75">
      <c r="B814" s="426"/>
      <c r="H814" s="428"/>
      <c r="I814" s="428"/>
      <c r="J814" s="428"/>
      <c r="K814" s="428"/>
      <c r="L814" s="428"/>
      <c r="M814" s="428"/>
      <c r="N814" s="428"/>
      <c r="O814" s="428"/>
      <c r="P814" s="428"/>
      <c r="Q814" s="428"/>
      <c r="R814" s="428"/>
      <c r="T814" s="428"/>
      <c r="X814" s="428"/>
      <c r="Y814" s="428"/>
      <c r="Z814" s="428"/>
    </row>
    <row r="815" spans="2:26" ht="12.75">
      <c r="B815" s="426"/>
      <c r="H815" s="428"/>
      <c r="I815" s="428"/>
      <c r="J815" s="428"/>
      <c r="K815" s="428"/>
      <c r="L815" s="428"/>
      <c r="M815" s="428"/>
      <c r="N815" s="428"/>
      <c r="O815" s="428"/>
      <c r="P815" s="428"/>
      <c r="Q815" s="428"/>
      <c r="R815" s="428"/>
      <c r="T815" s="428"/>
      <c r="X815" s="428"/>
      <c r="Y815" s="428"/>
      <c r="Z815" s="428"/>
    </row>
    <row r="816" spans="2:26" ht="12.75">
      <c r="B816" s="426"/>
      <c r="H816" s="428"/>
      <c r="I816" s="428"/>
      <c r="J816" s="428"/>
      <c r="K816" s="428"/>
      <c r="L816" s="428"/>
      <c r="M816" s="428"/>
      <c r="N816" s="428"/>
      <c r="O816" s="428"/>
      <c r="P816" s="428"/>
      <c r="Q816" s="428"/>
      <c r="R816" s="428"/>
      <c r="T816" s="428"/>
      <c r="X816" s="428"/>
      <c r="Y816" s="428"/>
      <c r="Z816" s="428"/>
    </row>
    <row r="817" spans="2:26" ht="12.75">
      <c r="B817" s="426"/>
      <c r="H817" s="428"/>
      <c r="I817" s="428"/>
      <c r="J817" s="428"/>
      <c r="K817" s="428"/>
      <c r="L817" s="428"/>
      <c r="M817" s="428"/>
      <c r="N817" s="428"/>
      <c r="O817" s="428"/>
      <c r="P817" s="428"/>
      <c r="Q817" s="428"/>
      <c r="R817" s="428"/>
      <c r="T817" s="428"/>
      <c r="X817" s="428"/>
      <c r="Y817" s="428"/>
      <c r="Z817" s="428"/>
    </row>
    <row r="818" spans="2:26" ht="12.75">
      <c r="B818" s="426"/>
      <c r="H818" s="428"/>
      <c r="I818" s="428"/>
      <c r="J818" s="428"/>
      <c r="K818" s="428"/>
      <c r="L818" s="428"/>
      <c r="M818" s="428"/>
      <c r="N818" s="428"/>
      <c r="O818" s="428"/>
      <c r="P818" s="428"/>
      <c r="Q818" s="428"/>
      <c r="R818" s="428"/>
      <c r="T818" s="428"/>
      <c r="X818" s="428"/>
      <c r="Y818" s="428"/>
      <c r="Z818" s="428"/>
    </row>
    <row r="819" spans="2:26" ht="12.75">
      <c r="B819" s="426"/>
      <c r="H819" s="428"/>
      <c r="I819" s="428"/>
      <c r="J819" s="428"/>
      <c r="K819" s="428"/>
      <c r="L819" s="428"/>
      <c r="M819" s="428"/>
      <c r="N819" s="428"/>
      <c r="O819" s="428"/>
      <c r="P819" s="428"/>
      <c r="Q819" s="428"/>
      <c r="R819" s="428"/>
      <c r="T819" s="428"/>
      <c r="X819" s="428"/>
      <c r="Y819" s="428"/>
      <c r="Z819" s="428"/>
    </row>
    <row r="820" spans="2:26" ht="12.75">
      <c r="B820" s="426"/>
      <c r="H820" s="428"/>
      <c r="I820" s="428"/>
      <c r="J820" s="428"/>
      <c r="K820" s="428"/>
      <c r="L820" s="428"/>
      <c r="M820" s="428"/>
      <c r="N820" s="428"/>
      <c r="O820" s="428"/>
      <c r="P820" s="428"/>
      <c r="Q820" s="428"/>
      <c r="R820" s="428"/>
      <c r="T820" s="428"/>
      <c r="X820" s="428"/>
      <c r="Y820" s="428"/>
      <c r="Z820" s="428"/>
    </row>
    <row r="821" spans="2:26" ht="12.75">
      <c r="B821" s="426"/>
      <c r="H821" s="428"/>
      <c r="I821" s="428"/>
      <c r="J821" s="428"/>
      <c r="K821" s="428"/>
      <c r="L821" s="428"/>
      <c r="M821" s="428"/>
      <c r="N821" s="428"/>
      <c r="O821" s="428"/>
      <c r="P821" s="428"/>
      <c r="Q821" s="428"/>
      <c r="R821" s="428"/>
      <c r="T821" s="428"/>
      <c r="X821" s="428"/>
      <c r="Y821" s="428"/>
      <c r="Z821" s="428"/>
    </row>
    <row r="822" spans="2:26" ht="12.75">
      <c r="B822" s="426"/>
      <c r="H822" s="428"/>
      <c r="I822" s="428"/>
      <c r="J822" s="428"/>
      <c r="K822" s="428"/>
      <c r="L822" s="428"/>
      <c r="M822" s="428"/>
      <c r="N822" s="428"/>
      <c r="O822" s="428"/>
      <c r="P822" s="428"/>
      <c r="Q822" s="428"/>
      <c r="R822" s="428"/>
      <c r="T822" s="428"/>
      <c r="X822" s="428"/>
      <c r="Y822" s="428"/>
      <c r="Z822" s="428"/>
    </row>
    <row r="823" spans="2:26" ht="12.75">
      <c r="B823" s="426"/>
      <c r="H823" s="428"/>
      <c r="I823" s="428"/>
      <c r="J823" s="428"/>
      <c r="K823" s="428"/>
      <c r="L823" s="428"/>
      <c r="M823" s="428"/>
      <c r="N823" s="428"/>
      <c r="O823" s="428"/>
      <c r="P823" s="428"/>
      <c r="Q823" s="428"/>
      <c r="R823" s="428"/>
      <c r="T823" s="428"/>
      <c r="X823" s="428"/>
      <c r="Y823" s="428"/>
      <c r="Z823" s="428"/>
    </row>
    <row r="824" spans="2:26" ht="12.75">
      <c r="B824" s="426"/>
      <c r="H824" s="428"/>
      <c r="I824" s="428"/>
      <c r="J824" s="428"/>
      <c r="K824" s="428"/>
      <c r="L824" s="428"/>
      <c r="M824" s="428"/>
      <c r="N824" s="428"/>
      <c r="O824" s="428"/>
      <c r="P824" s="428"/>
      <c r="Q824" s="428"/>
      <c r="R824" s="428"/>
      <c r="T824" s="428"/>
      <c r="X824" s="428"/>
      <c r="Y824" s="428"/>
      <c r="Z824" s="428"/>
    </row>
    <row r="825" spans="2:26" ht="12.75">
      <c r="B825" s="426"/>
      <c r="H825" s="428"/>
      <c r="I825" s="428"/>
      <c r="J825" s="428"/>
      <c r="K825" s="428"/>
      <c r="L825" s="428"/>
      <c r="M825" s="428"/>
      <c r="N825" s="428"/>
      <c r="O825" s="428"/>
      <c r="P825" s="428"/>
      <c r="Q825" s="428"/>
      <c r="R825" s="428"/>
      <c r="T825" s="428"/>
      <c r="X825" s="428"/>
      <c r="Y825" s="428"/>
      <c r="Z825" s="428"/>
    </row>
    <row r="826" spans="2:26" ht="12.75">
      <c r="B826" s="426"/>
      <c r="H826" s="428"/>
      <c r="I826" s="428"/>
      <c r="J826" s="428"/>
      <c r="K826" s="428"/>
      <c r="L826" s="428"/>
      <c r="M826" s="428"/>
      <c r="N826" s="428"/>
      <c r="O826" s="428"/>
      <c r="P826" s="428"/>
      <c r="Q826" s="428"/>
      <c r="R826" s="428"/>
      <c r="T826" s="428"/>
      <c r="X826" s="428"/>
      <c r="Y826" s="428"/>
      <c r="Z826" s="428"/>
    </row>
    <row r="827" spans="2:26" ht="12.75">
      <c r="B827" s="426"/>
      <c r="H827" s="428"/>
      <c r="I827" s="428"/>
      <c r="J827" s="428"/>
      <c r="K827" s="428"/>
      <c r="L827" s="428"/>
      <c r="M827" s="428"/>
      <c r="N827" s="428"/>
      <c r="O827" s="428"/>
      <c r="P827" s="428"/>
      <c r="Q827" s="428"/>
      <c r="R827" s="428"/>
      <c r="T827" s="428"/>
      <c r="X827" s="428"/>
      <c r="Y827" s="428"/>
      <c r="Z827" s="428"/>
    </row>
    <row r="828" spans="2:26" ht="12.75">
      <c r="B828" s="426"/>
      <c r="H828" s="428"/>
      <c r="I828" s="428"/>
      <c r="J828" s="428"/>
      <c r="K828" s="428"/>
      <c r="L828" s="428"/>
      <c r="M828" s="428"/>
      <c r="N828" s="428"/>
      <c r="O828" s="428"/>
      <c r="P828" s="428"/>
      <c r="Q828" s="428"/>
      <c r="R828" s="428"/>
      <c r="T828" s="428"/>
      <c r="X828" s="428"/>
      <c r="Y828" s="428"/>
      <c r="Z828" s="428"/>
    </row>
    <row r="829" spans="2:26" ht="12.75">
      <c r="B829" s="426"/>
      <c r="H829" s="428"/>
      <c r="I829" s="428"/>
      <c r="J829" s="428"/>
      <c r="K829" s="428"/>
      <c r="L829" s="428"/>
      <c r="M829" s="428"/>
      <c r="N829" s="428"/>
      <c r="O829" s="428"/>
      <c r="P829" s="428"/>
      <c r="Q829" s="428"/>
      <c r="R829" s="428"/>
      <c r="T829" s="428"/>
      <c r="X829" s="428"/>
      <c r="Y829" s="428"/>
      <c r="Z829" s="428"/>
    </row>
    <row r="830" spans="2:26" ht="12.75">
      <c r="B830" s="426"/>
      <c r="H830" s="428"/>
      <c r="I830" s="428"/>
      <c r="J830" s="428"/>
      <c r="K830" s="428"/>
      <c r="L830" s="428"/>
      <c r="M830" s="428"/>
      <c r="N830" s="428"/>
      <c r="O830" s="428"/>
      <c r="P830" s="428"/>
      <c r="Q830" s="428"/>
      <c r="R830" s="428"/>
      <c r="T830" s="428"/>
      <c r="X830" s="428"/>
      <c r="Y830" s="428"/>
      <c r="Z830" s="428"/>
    </row>
    <row r="831" spans="2:26" ht="12.75">
      <c r="B831" s="426"/>
      <c r="H831" s="428"/>
      <c r="I831" s="428"/>
      <c r="J831" s="428"/>
      <c r="K831" s="428"/>
      <c r="L831" s="428"/>
      <c r="M831" s="428"/>
      <c r="N831" s="428"/>
      <c r="O831" s="428"/>
      <c r="P831" s="428"/>
      <c r="Q831" s="428"/>
      <c r="R831" s="428"/>
      <c r="T831" s="428"/>
      <c r="X831" s="428"/>
      <c r="Y831" s="428"/>
      <c r="Z831" s="428"/>
    </row>
    <row r="832" spans="2:26" ht="12.75">
      <c r="B832" s="426"/>
      <c r="H832" s="428"/>
      <c r="I832" s="428"/>
      <c r="J832" s="428"/>
      <c r="K832" s="428"/>
      <c r="L832" s="428"/>
      <c r="M832" s="428"/>
      <c r="N832" s="428"/>
      <c r="O832" s="428"/>
      <c r="P832" s="428"/>
      <c r="Q832" s="428"/>
      <c r="R832" s="428"/>
      <c r="T832" s="428"/>
      <c r="X832" s="428"/>
      <c r="Y832" s="428"/>
      <c r="Z832" s="428"/>
    </row>
    <row r="833" spans="2:26" ht="12.75">
      <c r="B833" s="426"/>
      <c r="H833" s="428"/>
      <c r="I833" s="428"/>
      <c r="J833" s="428"/>
      <c r="K833" s="428"/>
      <c r="L833" s="428"/>
      <c r="M833" s="428"/>
      <c r="N833" s="428"/>
      <c r="O833" s="428"/>
      <c r="P833" s="428"/>
      <c r="Q833" s="428"/>
      <c r="R833" s="428"/>
      <c r="T833" s="428"/>
      <c r="X833" s="428"/>
      <c r="Y833" s="428"/>
      <c r="Z833" s="428"/>
    </row>
    <row r="834" spans="2:26" ht="12.75">
      <c r="B834" s="426"/>
      <c r="H834" s="428"/>
      <c r="I834" s="428"/>
      <c r="J834" s="428"/>
      <c r="K834" s="428"/>
      <c r="L834" s="428"/>
      <c r="M834" s="428"/>
      <c r="N834" s="428"/>
      <c r="O834" s="428"/>
      <c r="P834" s="428"/>
      <c r="Q834" s="428"/>
      <c r="R834" s="428"/>
      <c r="T834" s="428"/>
      <c r="X834" s="428"/>
      <c r="Y834" s="428"/>
      <c r="Z834" s="428"/>
    </row>
    <row r="835" spans="2:26" ht="12.75">
      <c r="B835" s="426"/>
      <c r="H835" s="428"/>
      <c r="I835" s="428"/>
      <c r="J835" s="428"/>
      <c r="K835" s="428"/>
      <c r="L835" s="428"/>
      <c r="M835" s="428"/>
      <c r="N835" s="428"/>
      <c r="O835" s="428"/>
      <c r="P835" s="428"/>
      <c r="Q835" s="428"/>
      <c r="R835" s="428"/>
      <c r="T835" s="428"/>
      <c r="X835" s="428"/>
      <c r="Y835" s="428"/>
      <c r="Z835" s="428"/>
    </row>
    <row r="836" spans="2:26" ht="12.75">
      <c r="B836" s="426"/>
      <c r="H836" s="428"/>
      <c r="I836" s="428"/>
      <c r="J836" s="428"/>
      <c r="K836" s="428"/>
      <c r="L836" s="428"/>
      <c r="M836" s="428"/>
      <c r="N836" s="428"/>
      <c r="O836" s="428"/>
      <c r="P836" s="428"/>
      <c r="Q836" s="428"/>
      <c r="R836" s="428"/>
      <c r="T836" s="428"/>
      <c r="X836" s="428"/>
      <c r="Y836" s="428"/>
      <c r="Z836" s="428"/>
    </row>
    <row r="837" spans="2:26" ht="12.75">
      <c r="B837" s="426"/>
      <c r="H837" s="428"/>
      <c r="I837" s="428"/>
      <c r="J837" s="428"/>
      <c r="K837" s="428"/>
      <c r="L837" s="428"/>
      <c r="M837" s="428"/>
      <c r="N837" s="428"/>
      <c r="O837" s="428"/>
      <c r="P837" s="428"/>
      <c r="Q837" s="428"/>
      <c r="R837" s="428"/>
      <c r="T837" s="428"/>
      <c r="X837" s="428"/>
      <c r="Y837" s="428"/>
      <c r="Z837" s="428"/>
    </row>
    <row r="838" spans="2:26" ht="12.75">
      <c r="B838" s="426"/>
      <c r="H838" s="428"/>
      <c r="I838" s="428"/>
      <c r="J838" s="428"/>
      <c r="K838" s="428"/>
      <c r="L838" s="428"/>
      <c r="M838" s="428"/>
      <c r="N838" s="428"/>
      <c r="O838" s="428"/>
      <c r="P838" s="428"/>
      <c r="Q838" s="428"/>
      <c r="R838" s="428"/>
      <c r="T838" s="428"/>
      <c r="X838" s="428"/>
      <c r="Y838" s="428"/>
      <c r="Z838" s="428"/>
    </row>
    <row r="839" spans="2:26" ht="12.75">
      <c r="B839" s="426"/>
      <c r="H839" s="428"/>
      <c r="I839" s="428"/>
      <c r="J839" s="428"/>
      <c r="K839" s="428"/>
      <c r="L839" s="428"/>
      <c r="M839" s="428"/>
      <c r="N839" s="428"/>
      <c r="O839" s="428"/>
      <c r="P839" s="428"/>
      <c r="Q839" s="428"/>
      <c r="R839" s="428"/>
      <c r="T839" s="428"/>
      <c r="X839" s="428"/>
      <c r="Y839" s="428"/>
      <c r="Z839" s="428"/>
    </row>
    <row r="840" spans="2:26" ht="12.75">
      <c r="B840" s="426"/>
      <c r="H840" s="428"/>
      <c r="I840" s="428"/>
      <c r="J840" s="428"/>
      <c r="K840" s="428"/>
      <c r="L840" s="428"/>
      <c r="M840" s="428"/>
      <c r="N840" s="428"/>
      <c r="O840" s="428"/>
      <c r="P840" s="428"/>
      <c r="Q840" s="428"/>
      <c r="R840" s="428"/>
      <c r="T840" s="428"/>
      <c r="X840" s="428"/>
      <c r="Y840" s="428"/>
      <c r="Z840" s="428"/>
    </row>
    <row r="841" spans="2:26" ht="12.75">
      <c r="B841" s="426"/>
      <c r="H841" s="428"/>
      <c r="I841" s="428"/>
      <c r="J841" s="428"/>
      <c r="K841" s="428"/>
      <c r="L841" s="428"/>
      <c r="M841" s="428"/>
      <c r="N841" s="428"/>
      <c r="O841" s="428"/>
      <c r="P841" s="428"/>
      <c r="Q841" s="428"/>
      <c r="R841" s="428"/>
      <c r="T841" s="428"/>
      <c r="X841" s="428"/>
      <c r="Y841" s="428"/>
      <c r="Z841" s="428"/>
    </row>
    <row r="842" spans="2:26" ht="12.75">
      <c r="B842" s="426"/>
      <c r="H842" s="428"/>
      <c r="I842" s="428"/>
      <c r="J842" s="428"/>
      <c r="K842" s="428"/>
      <c r="L842" s="428"/>
      <c r="M842" s="428"/>
      <c r="N842" s="428"/>
      <c r="O842" s="428"/>
      <c r="P842" s="428"/>
      <c r="Q842" s="428"/>
      <c r="R842" s="428"/>
      <c r="T842" s="428"/>
      <c r="X842" s="428"/>
      <c r="Y842" s="428"/>
      <c r="Z842" s="428"/>
    </row>
    <row r="843" spans="2:26" ht="12.75">
      <c r="B843" s="426"/>
      <c r="H843" s="428"/>
      <c r="I843" s="428"/>
      <c r="J843" s="428"/>
      <c r="K843" s="428"/>
      <c r="L843" s="428"/>
      <c r="M843" s="428"/>
      <c r="N843" s="428"/>
      <c r="O843" s="428"/>
      <c r="P843" s="428"/>
      <c r="Q843" s="428"/>
      <c r="R843" s="428"/>
      <c r="T843" s="428"/>
      <c r="X843" s="428"/>
      <c r="Y843" s="428"/>
      <c r="Z843" s="428"/>
    </row>
    <row r="844" spans="2:26" ht="12.75">
      <c r="B844" s="426"/>
      <c r="H844" s="428"/>
      <c r="I844" s="428"/>
      <c r="J844" s="428"/>
      <c r="K844" s="428"/>
      <c r="L844" s="428"/>
      <c r="M844" s="428"/>
      <c r="N844" s="428"/>
      <c r="O844" s="428"/>
      <c r="P844" s="428"/>
      <c r="Q844" s="428"/>
      <c r="R844" s="428"/>
      <c r="T844" s="428"/>
      <c r="X844" s="428"/>
      <c r="Y844" s="428"/>
      <c r="Z844" s="428"/>
    </row>
    <row r="845" spans="2:26" ht="12.75">
      <c r="B845" s="426"/>
      <c r="H845" s="428"/>
      <c r="I845" s="428"/>
      <c r="J845" s="428"/>
      <c r="K845" s="428"/>
      <c r="L845" s="428"/>
      <c r="M845" s="428"/>
      <c r="N845" s="428"/>
      <c r="O845" s="428"/>
      <c r="P845" s="428"/>
      <c r="Q845" s="428"/>
      <c r="R845" s="428"/>
      <c r="T845" s="428"/>
      <c r="X845" s="428"/>
      <c r="Y845" s="428"/>
      <c r="Z845" s="428"/>
    </row>
    <row r="846" spans="2:26" ht="12.75">
      <c r="B846" s="426"/>
      <c r="H846" s="428"/>
      <c r="I846" s="428"/>
      <c r="J846" s="428"/>
      <c r="K846" s="428"/>
      <c r="L846" s="428"/>
      <c r="M846" s="428"/>
      <c r="N846" s="428"/>
      <c r="O846" s="428"/>
      <c r="P846" s="428"/>
      <c r="Q846" s="428"/>
      <c r="R846" s="428"/>
      <c r="T846" s="428"/>
      <c r="X846" s="428"/>
      <c r="Y846" s="428"/>
      <c r="Z846" s="428"/>
    </row>
    <row r="847" spans="2:26" ht="12.75">
      <c r="B847" s="426"/>
      <c r="H847" s="428"/>
      <c r="I847" s="428"/>
      <c r="J847" s="428"/>
      <c r="K847" s="428"/>
      <c r="L847" s="428"/>
      <c r="M847" s="428"/>
      <c r="N847" s="428"/>
      <c r="O847" s="428"/>
      <c r="P847" s="428"/>
      <c r="Q847" s="428"/>
      <c r="R847" s="428"/>
      <c r="T847" s="428"/>
      <c r="X847" s="428"/>
      <c r="Y847" s="428"/>
      <c r="Z847" s="428"/>
    </row>
    <row r="848" spans="2:26" ht="12.75">
      <c r="B848" s="426"/>
      <c r="H848" s="428"/>
      <c r="I848" s="428"/>
      <c r="J848" s="428"/>
      <c r="K848" s="428"/>
      <c r="L848" s="428"/>
      <c r="M848" s="428"/>
      <c r="N848" s="428"/>
      <c r="O848" s="428"/>
      <c r="P848" s="428"/>
      <c r="Q848" s="428"/>
      <c r="R848" s="428"/>
      <c r="T848" s="428"/>
      <c r="X848" s="428"/>
      <c r="Y848" s="428"/>
      <c r="Z848" s="428"/>
    </row>
    <row r="849" spans="2:26" ht="12.75">
      <c r="B849" s="426"/>
      <c r="H849" s="428"/>
      <c r="I849" s="428"/>
      <c r="J849" s="428"/>
      <c r="K849" s="428"/>
      <c r="L849" s="428"/>
      <c r="M849" s="428"/>
      <c r="N849" s="428"/>
      <c r="O849" s="428"/>
      <c r="P849" s="428"/>
      <c r="Q849" s="428"/>
      <c r="R849" s="428"/>
      <c r="T849" s="428"/>
      <c r="X849" s="428"/>
      <c r="Y849" s="428"/>
      <c r="Z849" s="428"/>
    </row>
    <row r="850" spans="2:26" ht="12.75">
      <c r="B850" s="426"/>
      <c r="H850" s="428"/>
      <c r="I850" s="428"/>
      <c r="J850" s="428"/>
      <c r="K850" s="428"/>
      <c r="L850" s="428"/>
      <c r="M850" s="428"/>
      <c r="N850" s="428"/>
      <c r="O850" s="428"/>
      <c r="P850" s="428"/>
      <c r="Q850" s="428"/>
      <c r="R850" s="428"/>
      <c r="T850" s="428"/>
      <c r="X850" s="428"/>
      <c r="Y850" s="428"/>
      <c r="Z850" s="428"/>
    </row>
    <row r="851" spans="2:26" ht="12.75">
      <c r="B851" s="426"/>
      <c r="H851" s="428"/>
      <c r="I851" s="428"/>
      <c r="J851" s="428"/>
      <c r="K851" s="428"/>
      <c r="L851" s="428"/>
      <c r="M851" s="428"/>
      <c r="N851" s="428"/>
      <c r="O851" s="428"/>
      <c r="P851" s="428"/>
      <c r="Q851" s="428"/>
      <c r="R851" s="428"/>
      <c r="T851" s="428"/>
      <c r="X851" s="428"/>
      <c r="Y851" s="428"/>
      <c r="Z851" s="428"/>
    </row>
    <row r="852" spans="2:26" ht="12.75">
      <c r="B852" s="426"/>
      <c r="H852" s="428"/>
      <c r="I852" s="428"/>
      <c r="J852" s="428"/>
      <c r="K852" s="428"/>
      <c r="L852" s="428"/>
      <c r="M852" s="428"/>
      <c r="N852" s="428"/>
      <c r="O852" s="428"/>
      <c r="P852" s="428"/>
      <c r="Q852" s="428"/>
      <c r="R852" s="428"/>
      <c r="T852" s="428"/>
      <c r="X852" s="428"/>
      <c r="Y852" s="428"/>
      <c r="Z852" s="428"/>
    </row>
    <row r="853" spans="2:26" ht="12.75">
      <c r="B853" s="426"/>
      <c r="H853" s="428"/>
      <c r="I853" s="428"/>
      <c r="J853" s="428"/>
      <c r="K853" s="428"/>
      <c r="L853" s="428"/>
      <c r="M853" s="428"/>
      <c r="N853" s="428"/>
      <c r="O853" s="428"/>
      <c r="P853" s="428"/>
      <c r="Q853" s="428"/>
      <c r="R853" s="428"/>
      <c r="T853" s="428"/>
      <c r="X853" s="428"/>
      <c r="Y853" s="428"/>
      <c r="Z853" s="428"/>
    </row>
    <row r="854" spans="2:26" ht="12.75">
      <c r="B854" s="426"/>
      <c r="H854" s="428"/>
      <c r="I854" s="428"/>
      <c r="J854" s="428"/>
      <c r="K854" s="428"/>
      <c r="L854" s="428"/>
      <c r="M854" s="428"/>
      <c r="N854" s="428"/>
      <c r="O854" s="428"/>
      <c r="P854" s="428"/>
      <c r="Q854" s="428"/>
      <c r="R854" s="428"/>
      <c r="T854" s="428"/>
      <c r="X854" s="428"/>
      <c r="Y854" s="428"/>
      <c r="Z854" s="428"/>
    </row>
    <row r="855" spans="2:26" ht="12.75">
      <c r="B855" s="426"/>
      <c r="H855" s="428"/>
      <c r="I855" s="428"/>
      <c r="J855" s="428"/>
      <c r="K855" s="428"/>
      <c r="L855" s="428"/>
      <c r="M855" s="428"/>
      <c r="N855" s="428"/>
      <c r="O855" s="428"/>
      <c r="P855" s="428"/>
      <c r="Q855" s="428"/>
      <c r="R855" s="428"/>
      <c r="T855" s="428"/>
      <c r="X855" s="428"/>
      <c r="Y855" s="428"/>
      <c r="Z855" s="428"/>
    </row>
    <row r="856" spans="2:26" ht="12.75">
      <c r="B856" s="426"/>
      <c r="H856" s="428"/>
      <c r="I856" s="428"/>
      <c r="J856" s="428"/>
      <c r="K856" s="428"/>
      <c r="L856" s="428"/>
      <c r="M856" s="428"/>
      <c r="N856" s="428"/>
      <c r="O856" s="428"/>
      <c r="P856" s="428"/>
      <c r="Q856" s="428"/>
      <c r="R856" s="428"/>
      <c r="T856" s="428"/>
      <c r="X856" s="428"/>
      <c r="Y856" s="428"/>
      <c r="Z856" s="428"/>
    </row>
    <row r="857" spans="2:26" ht="12.75">
      <c r="B857" s="426"/>
      <c r="H857" s="428"/>
      <c r="I857" s="428"/>
      <c r="J857" s="428"/>
      <c r="K857" s="428"/>
      <c r="L857" s="428"/>
      <c r="M857" s="428"/>
      <c r="N857" s="428"/>
      <c r="O857" s="428"/>
      <c r="P857" s="428"/>
      <c r="Q857" s="428"/>
      <c r="R857" s="428"/>
      <c r="T857" s="428"/>
      <c r="X857" s="428"/>
      <c r="Y857" s="428"/>
      <c r="Z857" s="428"/>
    </row>
    <row r="858" spans="2:26" ht="12.75">
      <c r="B858" s="426"/>
      <c r="H858" s="428"/>
      <c r="I858" s="428"/>
      <c r="J858" s="428"/>
      <c r="K858" s="428"/>
      <c r="L858" s="428"/>
      <c r="M858" s="428"/>
      <c r="N858" s="428"/>
      <c r="O858" s="428"/>
      <c r="P858" s="428"/>
      <c r="Q858" s="428"/>
      <c r="R858" s="428"/>
      <c r="T858" s="428"/>
      <c r="X858" s="428"/>
      <c r="Y858" s="428"/>
      <c r="Z858" s="428"/>
    </row>
    <row r="859" spans="2:26" ht="12.75">
      <c r="B859" s="426"/>
      <c r="H859" s="428"/>
      <c r="I859" s="428"/>
      <c r="J859" s="428"/>
      <c r="K859" s="428"/>
      <c r="L859" s="428"/>
      <c r="M859" s="428"/>
      <c r="N859" s="428"/>
      <c r="O859" s="428"/>
      <c r="P859" s="428"/>
      <c r="Q859" s="428"/>
      <c r="R859" s="428"/>
      <c r="T859" s="428"/>
      <c r="X859" s="428"/>
      <c r="Y859" s="428"/>
      <c r="Z859" s="428"/>
    </row>
    <row r="860" spans="2:26" ht="12.75">
      <c r="B860" s="426"/>
      <c r="H860" s="428"/>
      <c r="I860" s="428"/>
      <c r="J860" s="428"/>
      <c r="K860" s="428"/>
      <c r="L860" s="428"/>
      <c r="M860" s="428"/>
      <c r="N860" s="428"/>
      <c r="O860" s="428"/>
      <c r="P860" s="428"/>
      <c r="Q860" s="428"/>
      <c r="R860" s="428"/>
      <c r="T860" s="428"/>
      <c r="X860" s="428"/>
      <c r="Y860" s="428"/>
      <c r="Z860" s="428"/>
    </row>
    <row r="861" spans="2:26" ht="12.75">
      <c r="B861" s="426"/>
      <c r="H861" s="428"/>
      <c r="I861" s="428"/>
      <c r="J861" s="428"/>
      <c r="K861" s="428"/>
      <c r="L861" s="428"/>
      <c r="M861" s="428"/>
      <c r="N861" s="428"/>
      <c r="O861" s="428"/>
      <c r="P861" s="428"/>
      <c r="Q861" s="428"/>
      <c r="R861" s="428"/>
      <c r="T861" s="428"/>
      <c r="X861" s="428"/>
      <c r="Y861" s="428"/>
      <c r="Z861" s="428"/>
    </row>
    <row r="862" spans="2:26" ht="12.75">
      <c r="B862" s="426"/>
      <c r="H862" s="428"/>
      <c r="I862" s="428"/>
      <c r="J862" s="428"/>
      <c r="K862" s="428"/>
      <c r="L862" s="428"/>
      <c r="M862" s="428"/>
      <c r="N862" s="428"/>
      <c r="O862" s="428"/>
      <c r="P862" s="428"/>
      <c r="Q862" s="428"/>
      <c r="R862" s="428"/>
      <c r="T862" s="428"/>
      <c r="X862" s="428"/>
      <c r="Y862" s="428"/>
      <c r="Z862" s="428"/>
    </row>
    <row r="863" spans="2:26" ht="12.75">
      <c r="B863" s="426"/>
      <c r="H863" s="428"/>
      <c r="I863" s="428"/>
      <c r="J863" s="428"/>
      <c r="K863" s="428"/>
      <c r="L863" s="428"/>
      <c r="M863" s="428"/>
      <c r="N863" s="428"/>
      <c r="O863" s="428"/>
      <c r="P863" s="428"/>
      <c r="Q863" s="428"/>
      <c r="R863" s="428"/>
      <c r="T863" s="428"/>
      <c r="X863" s="428"/>
      <c r="Y863" s="428"/>
      <c r="Z863" s="428"/>
    </row>
    <row r="864" spans="2:26" ht="12.75">
      <c r="B864" s="426"/>
      <c r="H864" s="428"/>
      <c r="I864" s="428"/>
      <c r="J864" s="428"/>
      <c r="K864" s="428"/>
      <c r="L864" s="428"/>
      <c r="M864" s="428"/>
      <c r="N864" s="428"/>
      <c r="O864" s="428"/>
      <c r="P864" s="428"/>
      <c r="Q864" s="428"/>
      <c r="R864" s="428"/>
      <c r="T864" s="428"/>
      <c r="X864" s="428"/>
      <c r="Y864" s="428"/>
      <c r="Z864" s="428"/>
    </row>
    <row r="865" spans="2:26" ht="12.75">
      <c r="B865" s="426"/>
      <c r="H865" s="428"/>
      <c r="I865" s="428"/>
      <c r="J865" s="428"/>
      <c r="K865" s="428"/>
      <c r="L865" s="428"/>
      <c r="M865" s="428"/>
      <c r="N865" s="428"/>
      <c r="O865" s="428"/>
      <c r="P865" s="428"/>
      <c r="Q865" s="428"/>
      <c r="R865" s="428"/>
      <c r="T865" s="428"/>
      <c r="X865" s="428"/>
      <c r="Y865" s="428"/>
      <c r="Z865" s="428"/>
    </row>
    <row r="866" spans="2:26" ht="12.75">
      <c r="B866" s="426"/>
      <c r="H866" s="428"/>
      <c r="I866" s="428"/>
      <c r="J866" s="428"/>
      <c r="K866" s="428"/>
      <c r="L866" s="428"/>
      <c r="M866" s="428"/>
      <c r="N866" s="428"/>
      <c r="O866" s="428"/>
      <c r="P866" s="428"/>
      <c r="Q866" s="428"/>
      <c r="R866" s="428"/>
      <c r="T866" s="428"/>
      <c r="X866" s="428"/>
      <c r="Y866" s="428"/>
      <c r="Z866" s="428"/>
    </row>
    <row r="867" spans="2:26" ht="12.75">
      <c r="B867" s="426"/>
      <c r="H867" s="428"/>
      <c r="I867" s="428"/>
      <c r="J867" s="428"/>
      <c r="K867" s="428"/>
      <c r="L867" s="428"/>
      <c r="M867" s="428"/>
      <c r="N867" s="428"/>
      <c r="O867" s="428"/>
      <c r="P867" s="428"/>
      <c r="Q867" s="428"/>
      <c r="R867" s="428"/>
      <c r="T867" s="428"/>
      <c r="X867" s="428"/>
      <c r="Y867" s="428"/>
      <c r="Z867" s="428"/>
    </row>
    <row r="868" spans="2:26" ht="12.75">
      <c r="B868" s="426"/>
      <c r="H868" s="428"/>
      <c r="I868" s="428"/>
      <c r="J868" s="428"/>
      <c r="K868" s="428"/>
      <c r="L868" s="428"/>
      <c r="M868" s="428"/>
      <c r="N868" s="428"/>
      <c r="O868" s="428"/>
      <c r="P868" s="428"/>
      <c r="Q868" s="428"/>
      <c r="R868" s="428"/>
      <c r="T868" s="428"/>
      <c r="X868" s="428"/>
      <c r="Y868" s="428"/>
      <c r="Z868" s="428"/>
    </row>
    <row r="869" spans="2:26" ht="12.75">
      <c r="B869" s="426"/>
      <c r="H869" s="428"/>
      <c r="I869" s="428"/>
      <c r="J869" s="428"/>
      <c r="K869" s="428"/>
      <c r="L869" s="428"/>
      <c r="M869" s="428"/>
      <c r="N869" s="428"/>
      <c r="O869" s="428"/>
      <c r="P869" s="428"/>
      <c r="Q869" s="428"/>
      <c r="R869" s="428"/>
      <c r="T869" s="428"/>
      <c r="X869" s="428"/>
      <c r="Y869" s="428"/>
      <c r="Z869" s="428"/>
    </row>
    <row r="870" spans="2:26" ht="12.75">
      <c r="B870" s="426"/>
      <c r="H870" s="428"/>
      <c r="I870" s="428"/>
      <c r="J870" s="428"/>
      <c r="K870" s="428"/>
      <c r="L870" s="428"/>
      <c r="M870" s="428"/>
      <c r="N870" s="428"/>
      <c r="O870" s="428"/>
      <c r="P870" s="428"/>
      <c r="Q870" s="428"/>
      <c r="R870" s="428"/>
      <c r="T870" s="428"/>
      <c r="X870" s="428"/>
      <c r="Y870" s="428"/>
      <c r="Z870" s="428"/>
    </row>
    <row r="871" spans="2:26" ht="12.75">
      <c r="B871" s="426"/>
      <c r="H871" s="428"/>
      <c r="I871" s="428"/>
      <c r="J871" s="428"/>
      <c r="K871" s="428"/>
      <c r="L871" s="428"/>
      <c r="M871" s="428"/>
      <c r="N871" s="428"/>
      <c r="O871" s="428"/>
      <c r="P871" s="428"/>
      <c r="Q871" s="428"/>
      <c r="R871" s="428"/>
      <c r="T871" s="428"/>
      <c r="X871" s="428"/>
      <c r="Y871" s="428"/>
      <c r="Z871" s="428"/>
    </row>
    <row r="872" spans="2:26" ht="12.75">
      <c r="B872" s="426"/>
      <c r="H872" s="428"/>
      <c r="I872" s="428"/>
      <c r="J872" s="428"/>
      <c r="K872" s="428"/>
      <c r="L872" s="428"/>
      <c r="M872" s="428"/>
      <c r="N872" s="428"/>
      <c r="O872" s="428"/>
      <c r="P872" s="428"/>
      <c r="Q872" s="428"/>
      <c r="R872" s="428"/>
      <c r="T872" s="428"/>
      <c r="X872" s="428"/>
      <c r="Y872" s="428"/>
      <c r="Z872" s="428"/>
    </row>
    <row r="873" spans="2:26" ht="12.75">
      <c r="B873" s="426"/>
      <c r="H873" s="428"/>
      <c r="I873" s="428"/>
      <c r="J873" s="428"/>
      <c r="K873" s="428"/>
      <c r="L873" s="428"/>
      <c r="M873" s="428"/>
      <c r="N873" s="428"/>
      <c r="O873" s="428"/>
      <c r="P873" s="428"/>
      <c r="Q873" s="428"/>
      <c r="R873" s="428"/>
      <c r="T873" s="428"/>
      <c r="X873" s="428"/>
      <c r="Y873" s="428"/>
      <c r="Z873" s="428"/>
    </row>
    <row r="874" spans="2:26" ht="12.75">
      <c r="B874" s="426"/>
      <c r="H874" s="428"/>
      <c r="I874" s="428"/>
      <c r="J874" s="428"/>
      <c r="K874" s="428"/>
      <c r="L874" s="428"/>
      <c r="M874" s="428"/>
      <c r="N874" s="428"/>
      <c r="O874" s="428"/>
      <c r="P874" s="428"/>
      <c r="Q874" s="428"/>
      <c r="R874" s="428"/>
      <c r="T874" s="428"/>
      <c r="X874" s="428"/>
      <c r="Y874" s="428"/>
      <c r="Z874" s="428"/>
    </row>
    <row r="875" spans="2:26" ht="12.75">
      <c r="B875" s="426"/>
      <c r="H875" s="428"/>
      <c r="I875" s="428"/>
      <c r="J875" s="428"/>
      <c r="K875" s="428"/>
      <c r="L875" s="428"/>
      <c r="M875" s="428"/>
      <c r="N875" s="428"/>
      <c r="O875" s="428"/>
      <c r="P875" s="428"/>
      <c r="Q875" s="428"/>
      <c r="R875" s="428"/>
      <c r="T875" s="428"/>
      <c r="X875" s="428"/>
      <c r="Y875" s="428"/>
      <c r="Z875" s="428"/>
    </row>
    <row r="876" spans="2:26" ht="12.75">
      <c r="B876" s="426"/>
      <c r="H876" s="428"/>
      <c r="I876" s="428"/>
      <c r="J876" s="428"/>
      <c r="K876" s="428"/>
      <c r="L876" s="428"/>
      <c r="M876" s="428"/>
      <c r="N876" s="428"/>
      <c r="O876" s="428"/>
      <c r="P876" s="428"/>
      <c r="Q876" s="428"/>
      <c r="R876" s="428"/>
      <c r="T876" s="428"/>
      <c r="X876" s="428"/>
      <c r="Y876" s="428"/>
      <c r="Z876" s="428"/>
    </row>
    <row r="877" spans="2:26" ht="12.75">
      <c r="B877" s="426"/>
      <c r="H877" s="428"/>
      <c r="I877" s="428"/>
      <c r="J877" s="428"/>
      <c r="K877" s="428"/>
      <c r="L877" s="428"/>
      <c r="M877" s="428"/>
      <c r="N877" s="428"/>
      <c r="O877" s="428"/>
      <c r="P877" s="428"/>
      <c r="Q877" s="428"/>
      <c r="R877" s="428"/>
      <c r="T877" s="428"/>
      <c r="X877" s="428"/>
      <c r="Y877" s="428"/>
      <c r="Z877" s="428"/>
    </row>
    <row r="878" spans="2:26" ht="12.75">
      <c r="B878" s="426"/>
      <c r="H878" s="428"/>
      <c r="I878" s="428"/>
      <c r="J878" s="428"/>
      <c r="K878" s="428"/>
      <c r="L878" s="428"/>
      <c r="M878" s="428"/>
      <c r="N878" s="428"/>
      <c r="O878" s="428"/>
      <c r="P878" s="428"/>
      <c r="Q878" s="428"/>
      <c r="R878" s="428"/>
      <c r="T878" s="428"/>
      <c r="X878" s="428"/>
      <c r="Y878" s="428"/>
      <c r="Z878" s="428"/>
    </row>
    <row r="879" spans="2:26" ht="12.75">
      <c r="B879" s="426"/>
      <c r="H879" s="428"/>
      <c r="I879" s="428"/>
      <c r="J879" s="428"/>
      <c r="K879" s="428"/>
      <c r="L879" s="428"/>
      <c r="M879" s="428"/>
      <c r="N879" s="428"/>
      <c r="O879" s="428"/>
      <c r="P879" s="428"/>
      <c r="Q879" s="428"/>
      <c r="R879" s="428"/>
      <c r="T879" s="428"/>
      <c r="X879" s="428"/>
      <c r="Y879" s="428"/>
      <c r="Z879" s="428"/>
    </row>
    <row r="880" spans="2:26" ht="12.75">
      <c r="B880" s="426"/>
      <c r="H880" s="428"/>
      <c r="I880" s="428"/>
      <c r="J880" s="428"/>
      <c r="K880" s="428"/>
      <c r="L880" s="428"/>
      <c r="M880" s="428"/>
      <c r="N880" s="428"/>
      <c r="O880" s="428"/>
      <c r="P880" s="428"/>
      <c r="Q880" s="428"/>
      <c r="R880" s="428"/>
      <c r="T880" s="428"/>
      <c r="X880" s="428"/>
      <c r="Y880" s="428"/>
      <c r="Z880" s="428"/>
    </row>
    <row r="881" spans="2:26" ht="12.75">
      <c r="B881" s="426"/>
      <c r="H881" s="428"/>
      <c r="I881" s="428"/>
      <c r="J881" s="428"/>
      <c r="K881" s="428"/>
      <c r="L881" s="428"/>
      <c r="M881" s="428"/>
      <c r="N881" s="428"/>
      <c r="O881" s="428"/>
      <c r="P881" s="428"/>
      <c r="Q881" s="428"/>
      <c r="R881" s="428"/>
      <c r="T881" s="428"/>
      <c r="X881" s="428"/>
      <c r="Y881" s="428"/>
      <c r="Z881" s="428"/>
    </row>
    <row r="882" spans="2:26" ht="12.75">
      <c r="B882" s="426"/>
      <c r="H882" s="428"/>
      <c r="I882" s="428"/>
      <c r="J882" s="428"/>
      <c r="K882" s="428"/>
      <c r="L882" s="428"/>
      <c r="M882" s="428"/>
      <c r="N882" s="428"/>
      <c r="O882" s="428"/>
      <c r="P882" s="428"/>
      <c r="Q882" s="428"/>
      <c r="R882" s="428"/>
      <c r="T882" s="428"/>
      <c r="X882" s="428"/>
      <c r="Y882" s="428"/>
      <c r="Z882" s="428"/>
    </row>
    <row r="883" spans="2:26" ht="12.75">
      <c r="B883" s="426"/>
      <c r="H883" s="428"/>
      <c r="I883" s="428"/>
      <c r="J883" s="428"/>
      <c r="K883" s="428"/>
      <c r="L883" s="428"/>
      <c r="M883" s="428"/>
      <c r="N883" s="428"/>
      <c r="O883" s="428"/>
      <c r="P883" s="428"/>
      <c r="Q883" s="428"/>
      <c r="R883" s="428"/>
      <c r="T883" s="428"/>
      <c r="X883" s="428"/>
      <c r="Y883" s="428"/>
      <c r="Z883" s="428"/>
    </row>
    <row r="884" spans="2:26" ht="12.75">
      <c r="B884" s="426"/>
      <c r="H884" s="428"/>
      <c r="I884" s="428"/>
      <c r="J884" s="428"/>
      <c r="K884" s="428"/>
      <c r="L884" s="428"/>
      <c r="M884" s="428"/>
      <c r="N884" s="428"/>
      <c r="O884" s="428"/>
      <c r="P884" s="428"/>
      <c r="Q884" s="428"/>
      <c r="R884" s="428"/>
      <c r="T884" s="428"/>
      <c r="X884" s="428"/>
      <c r="Y884" s="428"/>
      <c r="Z884" s="428"/>
    </row>
    <row r="885" spans="2:26" ht="12.75">
      <c r="B885" s="426"/>
      <c r="H885" s="428"/>
      <c r="I885" s="428"/>
      <c r="J885" s="428"/>
      <c r="K885" s="428"/>
      <c r="L885" s="428"/>
      <c r="M885" s="428"/>
      <c r="N885" s="428"/>
      <c r="O885" s="428"/>
      <c r="P885" s="428"/>
      <c r="Q885" s="428"/>
      <c r="R885" s="428"/>
      <c r="T885" s="428"/>
      <c r="X885" s="428"/>
      <c r="Y885" s="428"/>
      <c r="Z885" s="428"/>
    </row>
    <row r="886" spans="2:26" ht="12.75">
      <c r="B886" s="426"/>
      <c r="H886" s="428"/>
      <c r="I886" s="428"/>
      <c r="J886" s="428"/>
      <c r="K886" s="428"/>
      <c r="L886" s="428"/>
      <c r="M886" s="428"/>
      <c r="N886" s="428"/>
      <c r="O886" s="428"/>
      <c r="P886" s="428"/>
      <c r="Q886" s="428"/>
      <c r="R886" s="428"/>
      <c r="T886" s="428"/>
      <c r="X886" s="428"/>
      <c r="Y886" s="428"/>
      <c r="Z886" s="428"/>
    </row>
    <row r="887" spans="2:26" ht="12.75">
      <c r="B887" s="426"/>
      <c r="H887" s="428"/>
      <c r="I887" s="428"/>
      <c r="J887" s="428"/>
      <c r="K887" s="428"/>
      <c r="L887" s="428"/>
      <c r="M887" s="428"/>
      <c r="N887" s="428"/>
      <c r="O887" s="428"/>
      <c r="P887" s="428"/>
      <c r="Q887" s="428"/>
      <c r="R887" s="428"/>
      <c r="T887" s="428"/>
      <c r="X887" s="428"/>
      <c r="Y887" s="428"/>
      <c r="Z887" s="428"/>
    </row>
    <row r="888" spans="2:26" ht="12.75">
      <c r="B888" s="426"/>
      <c r="H888" s="428"/>
      <c r="I888" s="428"/>
      <c r="J888" s="428"/>
      <c r="K888" s="428"/>
      <c r="L888" s="428"/>
      <c r="M888" s="428"/>
      <c r="N888" s="428"/>
      <c r="O888" s="428"/>
      <c r="P888" s="428"/>
      <c r="Q888" s="428"/>
      <c r="R888" s="428"/>
      <c r="T888" s="428"/>
      <c r="X888" s="428"/>
      <c r="Y888" s="428"/>
      <c r="Z888" s="428"/>
    </row>
    <row r="889" spans="2:26" ht="12.75">
      <c r="B889" s="426"/>
      <c r="H889" s="428"/>
      <c r="I889" s="428"/>
      <c r="J889" s="428"/>
      <c r="K889" s="428"/>
      <c r="L889" s="428"/>
      <c r="M889" s="428"/>
      <c r="N889" s="428"/>
      <c r="O889" s="428"/>
      <c r="P889" s="428"/>
      <c r="Q889" s="428"/>
      <c r="R889" s="428"/>
      <c r="T889" s="428"/>
      <c r="X889" s="428"/>
      <c r="Y889" s="428"/>
      <c r="Z889" s="428"/>
    </row>
    <row r="890" spans="2:26" ht="12.75">
      <c r="B890" s="426"/>
      <c r="H890" s="428"/>
      <c r="I890" s="428"/>
      <c r="J890" s="428"/>
      <c r="K890" s="428"/>
      <c r="L890" s="428"/>
      <c r="M890" s="428"/>
      <c r="N890" s="428"/>
      <c r="O890" s="428"/>
      <c r="P890" s="428"/>
      <c r="Q890" s="428"/>
      <c r="R890" s="428"/>
      <c r="T890" s="428"/>
      <c r="X890" s="428"/>
      <c r="Y890" s="428"/>
      <c r="Z890" s="428"/>
    </row>
    <row r="891" spans="2:26" ht="12.75">
      <c r="B891" s="426"/>
      <c r="H891" s="428"/>
      <c r="I891" s="428"/>
      <c r="J891" s="428"/>
      <c r="K891" s="428"/>
      <c r="L891" s="428"/>
      <c r="M891" s="428"/>
      <c r="N891" s="428"/>
      <c r="O891" s="428"/>
      <c r="P891" s="428"/>
      <c r="Q891" s="428"/>
      <c r="R891" s="428"/>
      <c r="T891" s="428"/>
      <c r="X891" s="428"/>
      <c r="Y891" s="428"/>
      <c r="Z891" s="428"/>
    </row>
    <row r="892" spans="2:26" ht="12.75">
      <c r="B892" s="426"/>
      <c r="H892" s="428"/>
      <c r="I892" s="428"/>
      <c r="J892" s="428"/>
      <c r="K892" s="428"/>
      <c r="L892" s="428"/>
      <c r="M892" s="428"/>
      <c r="N892" s="428"/>
      <c r="O892" s="428"/>
      <c r="P892" s="428"/>
      <c r="Q892" s="428"/>
      <c r="R892" s="428"/>
      <c r="T892" s="428"/>
      <c r="X892" s="428"/>
      <c r="Y892" s="428"/>
      <c r="Z892" s="428"/>
    </row>
    <row r="893" spans="2:26" ht="12.75">
      <c r="B893" s="426"/>
      <c r="H893" s="428"/>
      <c r="I893" s="428"/>
      <c r="J893" s="428"/>
      <c r="K893" s="428"/>
      <c r="L893" s="428"/>
      <c r="M893" s="428"/>
      <c r="N893" s="428"/>
      <c r="O893" s="428"/>
      <c r="P893" s="428"/>
      <c r="Q893" s="428"/>
      <c r="R893" s="428"/>
      <c r="T893" s="428"/>
      <c r="X893" s="428"/>
      <c r="Y893" s="428"/>
      <c r="Z893" s="428"/>
    </row>
    <row r="894" spans="2:26" ht="12.75">
      <c r="B894" s="426"/>
      <c r="H894" s="428"/>
      <c r="I894" s="428"/>
      <c r="J894" s="428"/>
      <c r="K894" s="428"/>
      <c r="L894" s="428"/>
      <c r="M894" s="428"/>
      <c r="N894" s="428"/>
      <c r="O894" s="428"/>
      <c r="P894" s="428"/>
      <c r="Q894" s="428"/>
      <c r="R894" s="428"/>
      <c r="T894" s="428"/>
      <c r="X894" s="428"/>
      <c r="Y894" s="428"/>
      <c r="Z894" s="428"/>
    </row>
    <row r="895" spans="2:26" ht="12.75">
      <c r="B895" s="426"/>
      <c r="H895" s="428"/>
      <c r="I895" s="428"/>
      <c r="J895" s="428"/>
      <c r="K895" s="428"/>
      <c r="L895" s="428"/>
      <c r="M895" s="428"/>
      <c r="N895" s="428"/>
      <c r="O895" s="428"/>
      <c r="P895" s="428"/>
      <c r="Q895" s="428"/>
      <c r="R895" s="428"/>
      <c r="T895" s="428"/>
      <c r="X895" s="428"/>
      <c r="Y895" s="428"/>
      <c r="Z895" s="428"/>
    </row>
    <row r="896" spans="2:26" ht="12.75">
      <c r="B896" s="426"/>
      <c r="H896" s="428"/>
      <c r="I896" s="428"/>
      <c r="J896" s="428"/>
      <c r="K896" s="428"/>
      <c r="L896" s="428"/>
      <c r="M896" s="428"/>
      <c r="N896" s="428"/>
      <c r="O896" s="428"/>
      <c r="P896" s="428"/>
      <c r="Q896" s="428"/>
      <c r="R896" s="428"/>
      <c r="T896" s="428"/>
      <c r="X896" s="428"/>
      <c r="Y896" s="428"/>
      <c r="Z896" s="428"/>
    </row>
    <row r="897" spans="2:26" ht="12.75">
      <c r="B897" s="426"/>
      <c r="H897" s="428"/>
      <c r="I897" s="428"/>
      <c r="J897" s="428"/>
      <c r="K897" s="428"/>
      <c r="L897" s="428"/>
      <c r="M897" s="428"/>
      <c r="N897" s="428"/>
      <c r="O897" s="428"/>
      <c r="P897" s="428"/>
      <c r="Q897" s="428"/>
      <c r="R897" s="428"/>
      <c r="T897" s="428"/>
      <c r="X897" s="428"/>
      <c r="Y897" s="428"/>
      <c r="Z897" s="428"/>
    </row>
    <row r="898" spans="2:26" ht="12.75">
      <c r="B898" s="426"/>
      <c r="H898" s="428"/>
      <c r="I898" s="428"/>
      <c r="J898" s="428"/>
      <c r="K898" s="428"/>
      <c r="L898" s="428"/>
      <c r="M898" s="428"/>
      <c r="N898" s="428"/>
      <c r="O898" s="428"/>
      <c r="P898" s="428"/>
      <c r="Q898" s="428"/>
      <c r="R898" s="428"/>
      <c r="T898" s="428"/>
      <c r="X898" s="428"/>
      <c r="Y898" s="428"/>
      <c r="Z898" s="428"/>
    </row>
    <row r="899" spans="2:26" ht="12.75">
      <c r="B899" s="426"/>
      <c r="H899" s="428"/>
      <c r="I899" s="428"/>
      <c r="J899" s="428"/>
      <c r="K899" s="428"/>
      <c r="L899" s="428"/>
      <c r="M899" s="428"/>
      <c r="N899" s="428"/>
      <c r="O899" s="428"/>
      <c r="P899" s="428"/>
      <c r="Q899" s="428"/>
      <c r="R899" s="428"/>
      <c r="T899" s="428"/>
      <c r="X899" s="428"/>
      <c r="Y899" s="428"/>
      <c r="Z899" s="428"/>
    </row>
    <row r="900" spans="2:26" ht="12.75">
      <c r="B900" s="426"/>
      <c r="H900" s="428"/>
      <c r="I900" s="428"/>
      <c r="J900" s="428"/>
      <c r="K900" s="428"/>
      <c r="L900" s="428"/>
      <c r="M900" s="428"/>
      <c r="N900" s="428"/>
      <c r="O900" s="428"/>
      <c r="P900" s="428"/>
      <c r="Q900" s="428"/>
      <c r="R900" s="428"/>
      <c r="T900" s="428"/>
      <c r="X900" s="428"/>
      <c r="Y900" s="428"/>
      <c r="Z900" s="428"/>
    </row>
    <row r="901" spans="2:26" ht="12.75">
      <c r="B901" s="426"/>
      <c r="H901" s="428"/>
      <c r="I901" s="428"/>
      <c r="J901" s="428"/>
      <c r="K901" s="428"/>
      <c r="L901" s="428"/>
      <c r="M901" s="428"/>
      <c r="N901" s="428"/>
      <c r="O901" s="428"/>
      <c r="P901" s="428"/>
      <c r="Q901" s="428"/>
      <c r="R901" s="428"/>
      <c r="T901" s="428"/>
      <c r="X901" s="428"/>
      <c r="Y901" s="428"/>
      <c r="Z901" s="428"/>
    </row>
    <row r="902" spans="2:26" ht="12.75">
      <c r="B902" s="426"/>
      <c r="H902" s="428"/>
      <c r="I902" s="428"/>
      <c r="J902" s="428"/>
      <c r="K902" s="428"/>
      <c r="L902" s="428"/>
      <c r="M902" s="428"/>
      <c r="N902" s="428"/>
      <c r="O902" s="428"/>
      <c r="P902" s="428"/>
      <c r="Q902" s="428"/>
      <c r="R902" s="428"/>
      <c r="T902" s="428"/>
      <c r="X902" s="428"/>
      <c r="Y902" s="428"/>
      <c r="Z902" s="428"/>
    </row>
    <row r="903" spans="2:26" ht="12.75">
      <c r="B903" s="426"/>
      <c r="H903" s="428"/>
      <c r="I903" s="428"/>
      <c r="J903" s="428"/>
      <c r="K903" s="428"/>
      <c r="L903" s="428"/>
      <c r="M903" s="428"/>
      <c r="N903" s="428"/>
      <c r="O903" s="428"/>
      <c r="P903" s="428"/>
      <c r="Q903" s="428"/>
      <c r="R903" s="428"/>
      <c r="T903" s="428"/>
      <c r="X903" s="428"/>
      <c r="Y903" s="428"/>
      <c r="Z903" s="428"/>
    </row>
    <row r="904" spans="2:26" ht="12.75">
      <c r="B904" s="426"/>
      <c r="H904" s="428"/>
      <c r="I904" s="428"/>
      <c r="J904" s="428"/>
      <c r="K904" s="428"/>
      <c r="L904" s="428"/>
      <c r="M904" s="428"/>
      <c r="N904" s="428"/>
      <c r="O904" s="428"/>
      <c r="P904" s="428"/>
      <c r="Q904" s="428"/>
      <c r="R904" s="428"/>
      <c r="T904" s="428"/>
      <c r="X904" s="428"/>
      <c r="Y904" s="428"/>
      <c r="Z904" s="428"/>
    </row>
    <row r="905" spans="2:26" ht="12.75">
      <c r="B905" s="426"/>
      <c r="H905" s="428"/>
      <c r="I905" s="428"/>
      <c r="J905" s="428"/>
      <c r="K905" s="428"/>
      <c r="L905" s="428"/>
      <c r="M905" s="428"/>
      <c r="N905" s="428"/>
      <c r="O905" s="428"/>
      <c r="P905" s="428"/>
      <c r="Q905" s="428"/>
      <c r="R905" s="428"/>
      <c r="T905" s="428"/>
      <c r="X905" s="428"/>
      <c r="Y905" s="428"/>
      <c r="Z905" s="428"/>
    </row>
    <row r="906" spans="2:26" ht="12.75">
      <c r="B906" s="426"/>
      <c r="H906" s="428"/>
      <c r="I906" s="428"/>
      <c r="J906" s="428"/>
      <c r="K906" s="428"/>
      <c r="L906" s="428"/>
      <c r="M906" s="428"/>
      <c r="N906" s="428"/>
      <c r="O906" s="428"/>
      <c r="P906" s="428"/>
      <c r="Q906" s="428"/>
      <c r="R906" s="428"/>
      <c r="T906" s="428"/>
      <c r="X906" s="428"/>
      <c r="Y906" s="428"/>
      <c r="Z906" s="428"/>
    </row>
    <row r="907" spans="2:26" ht="12.75">
      <c r="B907" s="426"/>
      <c r="H907" s="428"/>
      <c r="I907" s="428"/>
      <c r="J907" s="428"/>
      <c r="K907" s="428"/>
      <c r="L907" s="428"/>
      <c r="M907" s="428"/>
      <c r="N907" s="428"/>
      <c r="O907" s="428"/>
      <c r="P907" s="428"/>
      <c r="Q907" s="428"/>
      <c r="R907" s="428"/>
      <c r="T907" s="428"/>
      <c r="X907" s="428"/>
      <c r="Y907" s="428"/>
      <c r="Z907" s="428"/>
    </row>
    <row r="908" spans="2:26" ht="12.75">
      <c r="B908" s="426"/>
      <c r="H908" s="428"/>
      <c r="I908" s="428"/>
      <c r="J908" s="428"/>
      <c r="K908" s="428"/>
      <c r="L908" s="428"/>
      <c r="M908" s="428"/>
      <c r="N908" s="428"/>
      <c r="O908" s="428"/>
      <c r="P908" s="428"/>
      <c r="Q908" s="428"/>
      <c r="R908" s="428"/>
      <c r="T908" s="428"/>
      <c r="X908" s="428"/>
      <c r="Y908" s="428"/>
      <c r="Z908" s="428"/>
    </row>
    <row r="909" spans="2:26" ht="12.75">
      <c r="B909" s="426"/>
      <c r="H909" s="428"/>
      <c r="I909" s="428"/>
      <c r="J909" s="428"/>
      <c r="K909" s="428"/>
      <c r="L909" s="428"/>
      <c r="M909" s="428"/>
      <c r="N909" s="428"/>
      <c r="O909" s="428"/>
      <c r="P909" s="428"/>
      <c r="Q909" s="428"/>
      <c r="R909" s="428"/>
      <c r="T909" s="428"/>
      <c r="X909" s="428"/>
      <c r="Y909" s="428"/>
      <c r="Z909" s="428"/>
    </row>
    <row r="910" spans="2:26" ht="12.75">
      <c r="B910" s="426"/>
      <c r="H910" s="428"/>
      <c r="I910" s="428"/>
      <c r="J910" s="428"/>
      <c r="K910" s="428"/>
      <c r="L910" s="428"/>
      <c r="M910" s="428"/>
      <c r="N910" s="428"/>
      <c r="O910" s="428"/>
      <c r="P910" s="428"/>
      <c r="Q910" s="428"/>
      <c r="R910" s="428"/>
      <c r="T910" s="428"/>
      <c r="X910" s="428"/>
      <c r="Y910" s="428"/>
      <c r="Z910" s="428"/>
    </row>
    <row r="911" spans="2:26" ht="12.75">
      <c r="B911" s="426"/>
      <c r="H911" s="428"/>
      <c r="I911" s="428"/>
      <c r="J911" s="428"/>
      <c r="K911" s="428"/>
      <c r="L911" s="428"/>
      <c r="M911" s="428"/>
      <c r="N911" s="428"/>
      <c r="O911" s="428"/>
      <c r="P911" s="428"/>
      <c r="Q911" s="428"/>
      <c r="R911" s="428"/>
      <c r="T911" s="428"/>
      <c r="X911" s="428"/>
      <c r="Y911" s="428"/>
      <c r="Z911" s="428"/>
    </row>
    <row r="912" spans="2:26" ht="12.75">
      <c r="B912" s="426"/>
      <c r="H912" s="428"/>
      <c r="I912" s="428"/>
      <c r="J912" s="428"/>
      <c r="K912" s="428"/>
      <c r="L912" s="428"/>
      <c r="M912" s="428"/>
      <c r="N912" s="428"/>
      <c r="O912" s="428"/>
      <c r="P912" s="428"/>
      <c r="Q912" s="428"/>
      <c r="R912" s="428"/>
      <c r="T912" s="428"/>
      <c r="X912" s="428"/>
      <c r="Y912" s="428"/>
      <c r="Z912" s="428"/>
    </row>
    <row r="913" spans="2:26" ht="12.75">
      <c r="B913" s="426"/>
      <c r="H913" s="428"/>
      <c r="I913" s="428"/>
      <c r="J913" s="428"/>
      <c r="K913" s="428"/>
      <c r="L913" s="428"/>
      <c r="M913" s="428"/>
      <c r="N913" s="428"/>
      <c r="O913" s="428"/>
      <c r="P913" s="428"/>
      <c r="Q913" s="428"/>
      <c r="R913" s="428"/>
      <c r="T913" s="428"/>
      <c r="X913" s="428"/>
      <c r="Y913" s="428"/>
      <c r="Z913" s="428"/>
    </row>
    <row r="914" spans="2:26" ht="12.75">
      <c r="B914" s="426"/>
      <c r="H914" s="428"/>
      <c r="I914" s="428"/>
      <c r="J914" s="428"/>
      <c r="K914" s="428"/>
      <c r="L914" s="428"/>
      <c r="M914" s="428"/>
      <c r="N914" s="428"/>
      <c r="O914" s="428"/>
      <c r="P914" s="428"/>
      <c r="Q914" s="428"/>
      <c r="R914" s="428"/>
      <c r="T914" s="428"/>
      <c r="X914" s="428"/>
      <c r="Y914" s="428"/>
      <c r="Z914" s="428"/>
    </row>
    <row r="915" spans="2:26" ht="12.75">
      <c r="B915" s="426"/>
      <c r="H915" s="428"/>
      <c r="I915" s="428"/>
      <c r="J915" s="428"/>
      <c r="K915" s="428"/>
      <c r="L915" s="428"/>
      <c r="M915" s="428"/>
      <c r="N915" s="428"/>
      <c r="O915" s="428"/>
      <c r="P915" s="428"/>
      <c r="Q915" s="428"/>
      <c r="R915" s="428"/>
      <c r="T915" s="428"/>
      <c r="X915" s="428"/>
      <c r="Y915" s="428"/>
      <c r="Z915" s="428"/>
    </row>
    <row r="916" spans="2:26" ht="12.75">
      <c r="B916" s="426"/>
      <c r="H916" s="428"/>
      <c r="I916" s="428"/>
      <c r="J916" s="428"/>
      <c r="K916" s="428"/>
      <c r="L916" s="428"/>
      <c r="M916" s="428"/>
      <c r="N916" s="428"/>
      <c r="O916" s="428"/>
      <c r="P916" s="428"/>
      <c r="Q916" s="428"/>
      <c r="R916" s="428"/>
      <c r="T916" s="428"/>
      <c r="X916" s="428"/>
      <c r="Y916" s="428"/>
      <c r="Z916" s="428"/>
    </row>
    <row r="917" spans="2:26" ht="12.75">
      <c r="B917" s="426"/>
      <c r="H917" s="428"/>
      <c r="I917" s="428"/>
      <c r="J917" s="428"/>
      <c r="K917" s="428"/>
      <c r="L917" s="428"/>
      <c r="M917" s="428"/>
      <c r="N917" s="428"/>
      <c r="O917" s="428"/>
      <c r="P917" s="428"/>
      <c r="Q917" s="428"/>
      <c r="R917" s="428"/>
      <c r="T917" s="428"/>
      <c r="X917" s="428"/>
      <c r="Y917" s="428"/>
      <c r="Z917" s="428"/>
    </row>
    <row r="918" spans="2:26" ht="12.75">
      <c r="B918" s="426"/>
      <c r="H918" s="428"/>
      <c r="I918" s="428"/>
      <c r="J918" s="428"/>
      <c r="K918" s="428"/>
      <c r="L918" s="428"/>
      <c r="M918" s="428"/>
      <c r="N918" s="428"/>
      <c r="O918" s="428"/>
      <c r="P918" s="428"/>
      <c r="Q918" s="428"/>
      <c r="R918" s="428"/>
      <c r="T918" s="428"/>
      <c r="X918" s="428"/>
      <c r="Y918" s="428"/>
      <c r="Z918" s="428"/>
    </row>
    <row r="919" spans="2:26" ht="12.75">
      <c r="B919" s="426"/>
      <c r="H919" s="428"/>
      <c r="I919" s="428"/>
      <c r="J919" s="428"/>
      <c r="K919" s="428"/>
      <c r="L919" s="428"/>
      <c r="M919" s="428"/>
      <c r="N919" s="428"/>
      <c r="O919" s="428"/>
      <c r="P919" s="428"/>
      <c r="Q919" s="428"/>
      <c r="R919" s="428"/>
      <c r="T919" s="428"/>
      <c r="X919" s="428"/>
      <c r="Y919" s="428"/>
      <c r="Z919" s="428"/>
    </row>
    <row r="920" spans="2:26" ht="12.75">
      <c r="B920" s="426"/>
      <c r="H920" s="428"/>
      <c r="I920" s="428"/>
      <c r="J920" s="428"/>
      <c r="K920" s="428"/>
      <c r="L920" s="428"/>
      <c r="M920" s="428"/>
      <c r="N920" s="428"/>
      <c r="O920" s="428"/>
      <c r="P920" s="428"/>
      <c r="Q920" s="428"/>
      <c r="R920" s="428"/>
      <c r="T920" s="428"/>
      <c r="X920" s="428"/>
      <c r="Y920" s="428"/>
      <c r="Z920" s="428"/>
    </row>
    <row r="921" spans="2:26" ht="12.75">
      <c r="B921" s="426"/>
      <c r="H921" s="428"/>
      <c r="I921" s="428"/>
      <c r="J921" s="428"/>
      <c r="K921" s="428"/>
      <c r="L921" s="428"/>
      <c r="M921" s="428"/>
      <c r="N921" s="428"/>
      <c r="O921" s="428"/>
      <c r="P921" s="428"/>
      <c r="Q921" s="428"/>
      <c r="R921" s="428"/>
      <c r="T921" s="428"/>
      <c r="X921" s="428"/>
      <c r="Y921" s="428"/>
      <c r="Z921" s="428"/>
    </row>
    <row r="922" spans="2:26" ht="12.75">
      <c r="B922" s="426"/>
      <c r="H922" s="428"/>
      <c r="I922" s="428"/>
      <c r="J922" s="428"/>
      <c r="K922" s="428"/>
      <c r="L922" s="428"/>
      <c r="M922" s="428"/>
      <c r="N922" s="428"/>
      <c r="O922" s="428"/>
      <c r="P922" s="428"/>
      <c r="Q922" s="428"/>
      <c r="R922" s="428"/>
      <c r="T922" s="428"/>
      <c r="X922" s="428"/>
      <c r="Y922" s="428"/>
      <c r="Z922" s="428"/>
    </row>
    <row r="923" spans="2:26" ht="12.75">
      <c r="B923" s="426"/>
      <c r="H923" s="428"/>
      <c r="I923" s="428"/>
      <c r="J923" s="428"/>
      <c r="K923" s="428"/>
      <c r="L923" s="428"/>
      <c r="M923" s="428"/>
      <c r="N923" s="428"/>
      <c r="O923" s="428"/>
      <c r="P923" s="428"/>
      <c r="Q923" s="428"/>
      <c r="R923" s="428"/>
      <c r="T923" s="428"/>
      <c r="X923" s="428"/>
      <c r="Y923" s="428"/>
      <c r="Z923" s="428"/>
    </row>
    <row r="924" spans="2:26" ht="12.75">
      <c r="B924" s="426"/>
      <c r="H924" s="428"/>
      <c r="I924" s="428"/>
      <c r="J924" s="428"/>
      <c r="K924" s="428"/>
      <c r="L924" s="428"/>
      <c r="M924" s="428"/>
      <c r="N924" s="428"/>
      <c r="O924" s="428"/>
      <c r="P924" s="428"/>
      <c r="Q924" s="428"/>
      <c r="R924" s="428"/>
      <c r="T924" s="428"/>
      <c r="X924" s="428"/>
      <c r="Y924" s="428"/>
      <c r="Z924" s="428"/>
    </row>
    <row r="925" spans="2:26" ht="12.75">
      <c r="B925" s="426"/>
      <c r="H925" s="428"/>
      <c r="I925" s="428"/>
      <c r="J925" s="428"/>
      <c r="K925" s="428"/>
      <c r="L925" s="428"/>
      <c r="M925" s="428"/>
      <c r="N925" s="428"/>
      <c r="O925" s="428"/>
      <c r="P925" s="428"/>
      <c r="Q925" s="428"/>
      <c r="R925" s="428"/>
      <c r="T925" s="428"/>
      <c r="X925" s="428"/>
      <c r="Y925" s="428"/>
      <c r="Z925" s="428"/>
    </row>
    <row r="926" spans="2:26" ht="12.75">
      <c r="B926" s="426"/>
      <c r="H926" s="428"/>
      <c r="I926" s="428"/>
      <c r="J926" s="428"/>
      <c r="K926" s="428"/>
      <c r="L926" s="428"/>
      <c r="M926" s="428"/>
      <c r="N926" s="428"/>
      <c r="O926" s="428"/>
      <c r="P926" s="428"/>
      <c r="Q926" s="428"/>
      <c r="R926" s="428"/>
      <c r="T926" s="428"/>
      <c r="X926" s="428"/>
      <c r="Y926" s="428"/>
      <c r="Z926" s="428"/>
    </row>
    <row r="927" spans="2:26" ht="12.75">
      <c r="B927" s="426"/>
      <c r="H927" s="428"/>
      <c r="I927" s="428"/>
      <c r="J927" s="428"/>
      <c r="K927" s="428"/>
      <c r="L927" s="428"/>
      <c r="M927" s="428"/>
      <c r="N927" s="428"/>
      <c r="O927" s="428"/>
      <c r="P927" s="428"/>
      <c r="Q927" s="428"/>
      <c r="R927" s="428"/>
      <c r="T927" s="428"/>
      <c r="X927" s="428"/>
      <c r="Y927" s="428"/>
      <c r="Z927" s="428"/>
    </row>
    <row r="928" spans="2:26" ht="12.75">
      <c r="B928" s="426"/>
      <c r="H928" s="428"/>
      <c r="I928" s="428"/>
      <c r="J928" s="428"/>
      <c r="K928" s="428"/>
      <c r="L928" s="428"/>
      <c r="M928" s="428"/>
      <c r="N928" s="428"/>
      <c r="O928" s="428"/>
      <c r="P928" s="428"/>
      <c r="Q928" s="428"/>
      <c r="R928" s="428"/>
      <c r="T928" s="428"/>
      <c r="X928" s="428"/>
      <c r="Y928" s="428"/>
      <c r="Z928" s="428"/>
    </row>
    <row r="929" spans="2:26" ht="12.75">
      <c r="B929" s="426"/>
      <c r="H929" s="428"/>
      <c r="I929" s="428"/>
      <c r="J929" s="428"/>
      <c r="K929" s="428"/>
      <c r="L929" s="428"/>
      <c r="M929" s="428"/>
      <c r="N929" s="428"/>
      <c r="O929" s="428"/>
      <c r="P929" s="428"/>
      <c r="Q929" s="428"/>
      <c r="R929" s="428"/>
      <c r="T929" s="428"/>
      <c r="X929" s="428"/>
      <c r="Y929" s="428"/>
      <c r="Z929" s="428"/>
    </row>
    <row r="930" spans="2:26" ht="12.75">
      <c r="B930" s="426"/>
      <c r="H930" s="428"/>
      <c r="I930" s="428"/>
      <c r="J930" s="428"/>
      <c r="K930" s="428"/>
      <c r="L930" s="428"/>
      <c r="M930" s="428"/>
      <c r="N930" s="428"/>
      <c r="O930" s="428"/>
      <c r="P930" s="428"/>
      <c r="Q930" s="428"/>
      <c r="R930" s="428"/>
      <c r="T930" s="428"/>
      <c r="X930" s="428"/>
      <c r="Y930" s="428"/>
      <c r="Z930" s="428"/>
    </row>
    <row r="931" spans="2:26" ht="12.75">
      <c r="B931" s="426"/>
      <c r="H931" s="428"/>
      <c r="I931" s="428"/>
      <c r="J931" s="428"/>
      <c r="K931" s="428"/>
      <c r="L931" s="428"/>
      <c r="M931" s="428"/>
      <c r="N931" s="428"/>
      <c r="O931" s="428"/>
      <c r="P931" s="428"/>
      <c r="Q931" s="428"/>
      <c r="R931" s="428"/>
      <c r="T931" s="428"/>
      <c r="X931" s="428"/>
      <c r="Y931" s="428"/>
      <c r="Z931" s="428"/>
    </row>
    <row r="932" spans="2:26" ht="12.75">
      <c r="B932" s="426"/>
      <c r="H932" s="428"/>
      <c r="I932" s="428"/>
      <c r="J932" s="428"/>
      <c r="K932" s="428"/>
      <c r="L932" s="428"/>
      <c r="M932" s="428"/>
      <c r="N932" s="428"/>
      <c r="O932" s="428"/>
      <c r="P932" s="428"/>
      <c r="Q932" s="428"/>
      <c r="R932" s="428"/>
      <c r="T932" s="428"/>
      <c r="X932" s="428"/>
      <c r="Y932" s="428"/>
      <c r="Z932" s="428"/>
    </row>
    <row r="933" spans="2:26" ht="12.75">
      <c r="B933" s="426"/>
      <c r="H933" s="428"/>
      <c r="I933" s="428"/>
      <c r="J933" s="428"/>
      <c r="K933" s="428"/>
      <c r="L933" s="428"/>
      <c r="M933" s="428"/>
      <c r="N933" s="428"/>
      <c r="O933" s="428"/>
      <c r="P933" s="428"/>
      <c r="Q933" s="428"/>
      <c r="R933" s="428"/>
      <c r="T933" s="428"/>
      <c r="X933" s="428"/>
      <c r="Y933" s="428"/>
      <c r="Z933" s="428"/>
    </row>
  </sheetData>
  <mergeCells count="14">
    <mergeCell ref="H69:H85"/>
    <mergeCell ref="I85:J85"/>
    <mergeCell ref="H6:J6"/>
    <mergeCell ref="H7:H25"/>
    <mergeCell ref="I23:J23"/>
    <mergeCell ref="I24:J24"/>
    <mergeCell ref="I25:J25"/>
    <mergeCell ref="H28:J28"/>
    <mergeCell ref="H29:H45"/>
    <mergeCell ref="I45:J45"/>
    <mergeCell ref="H48:J48"/>
    <mergeCell ref="H49:H65"/>
    <mergeCell ref="I65:J65"/>
    <mergeCell ref="H68:J68"/>
  </mergeCells>
  <phoneticPr fontId="86" type="noConversion"/>
  <conditionalFormatting sqref="K49:AB64">
    <cfRule type="cellIs" dxfId="15" priority="2" operator="lessThanOrEqual">
      <formula>0</formula>
    </cfRule>
  </conditionalFormatting>
  <conditionalFormatting sqref="K69:AB84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AA84F"/>
    <outlinePr summaryBelow="0" summaryRight="0"/>
  </sheetPr>
  <dimension ref="A1:AB933"/>
  <sheetViews>
    <sheetView workbookViewId="0"/>
  </sheetViews>
  <sheetFormatPr defaultColWidth="14.42578125" defaultRowHeight="15.75" customHeight="1" outlineLevelRow="1"/>
  <cols>
    <col min="1" max="1" width="20.42578125" customWidth="1"/>
    <col min="6" max="7" width="22.85546875" customWidth="1"/>
    <col min="8" max="8" width="21.140625" customWidth="1"/>
    <col min="9" max="9" width="20.42578125" customWidth="1"/>
    <col min="10" max="15" width="14.42578125" hidden="1"/>
  </cols>
  <sheetData>
    <row r="1" spans="1:27" ht="12.75">
      <c r="B1" s="426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S1" s="428"/>
      <c r="W1" s="428"/>
      <c r="X1" s="428"/>
    </row>
    <row r="2" spans="1:27" ht="12.75">
      <c r="B2" s="426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S2" s="428"/>
      <c r="W2" s="428"/>
      <c r="X2" s="428"/>
    </row>
    <row r="3" spans="1:27" ht="16.5">
      <c r="B3" s="426"/>
      <c r="F3" s="428"/>
      <c r="G3" s="430" t="s">
        <v>245</v>
      </c>
      <c r="H3" s="428"/>
      <c r="I3" s="428"/>
      <c r="J3" s="428"/>
      <c r="K3" s="428"/>
      <c r="L3" s="428"/>
      <c r="M3" s="428"/>
      <c r="N3" s="428"/>
      <c r="O3" s="428"/>
      <c r="P3" s="428"/>
      <c r="Q3" s="428"/>
      <c r="S3" s="428"/>
      <c r="W3" s="428"/>
      <c r="X3" s="428"/>
    </row>
    <row r="4" spans="1:27" ht="12.75">
      <c r="B4" s="426"/>
      <c r="F4" s="428"/>
      <c r="G4" s="428"/>
      <c r="H4" s="428"/>
      <c r="I4" s="428"/>
      <c r="J4" s="428"/>
      <c r="K4" s="428"/>
      <c r="L4" s="428"/>
      <c r="M4" s="428"/>
      <c r="N4" s="431"/>
      <c r="O4" s="431"/>
      <c r="P4" s="431"/>
      <c r="Q4" s="428"/>
      <c r="S4" s="428"/>
      <c r="T4" s="7" t="s">
        <v>248</v>
      </c>
      <c r="W4" s="431"/>
      <c r="X4" s="428"/>
    </row>
    <row r="5" spans="1:27" ht="12.75">
      <c r="B5" s="426"/>
      <c r="F5" s="428"/>
      <c r="G5" s="6">
        <v>1730</v>
      </c>
      <c r="H5" s="432"/>
      <c r="I5" s="432"/>
      <c r="J5" s="428"/>
      <c r="K5" s="428"/>
      <c r="L5" s="428" t="s">
        <v>249</v>
      </c>
      <c r="M5" s="428" t="s">
        <v>249</v>
      </c>
      <c r="N5" s="428"/>
      <c r="O5" s="428"/>
      <c r="P5" s="428"/>
      <c r="Q5" s="428"/>
      <c r="S5" s="428"/>
      <c r="W5" s="428"/>
      <c r="X5" s="428"/>
    </row>
    <row r="6" spans="1:27" ht="15" customHeight="1">
      <c r="A6" s="311" t="s">
        <v>6</v>
      </c>
      <c r="B6" s="433" t="s">
        <v>252</v>
      </c>
      <c r="C6" s="13" t="s">
        <v>11</v>
      </c>
      <c r="D6" s="11" t="s">
        <v>235</v>
      </c>
      <c r="E6" s="11" t="s">
        <v>105</v>
      </c>
      <c r="F6" s="428"/>
      <c r="G6" s="948" t="s">
        <v>13</v>
      </c>
      <c r="H6" s="879"/>
      <c r="I6" s="860"/>
      <c r="J6" s="434" t="s">
        <v>17</v>
      </c>
      <c r="K6" s="434" t="s">
        <v>18</v>
      </c>
      <c r="L6" s="434" t="s">
        <v>19</v>
      </c>
      <c r="M6" s="434" t="s">
        <v>20</v>
      </c>
      <c r="N6" s="434" t="s">
        <v>21</v>
      </c>
      <c r="O6" s="434" t="s">
        <v>22</v>
      </c>
      <c r="P6" s="434" t="s">
        <v>23</v>
      </c>
      <c r="Q6" s="435" t="s">
        <v>107</v>
      </c>
      <c r="R6" s="436" t="s">
        <v>25</v>
      </c>
      <c r="S6" s="436" t="s">
        <v>26</v>
      </c>
      <c r="T6" s="436" t="s">
        <v>15</v>
      </c>
      <c r="U6" s="436" t="s">
        <v>16</v>
      </c>
      <c r="V6" s="436" t="s">
        <v>17</v>
      </c>
      <c r="W6" s="434" t="s">
        <v>18</v>
      </c>
      <c r="X6" s="435" t="s">
        <v>19</v>
      </c>
      <c r="Y6" s="18" t="s">
        <v>20</v>
      </c>
      <c r="Z6" s="18" t="s">
        <v>21</v>
      </c>
      <c r="AA6" s="18" t="s">
        <v>22</v>
      </c>
    </row>
    <row r="7" spans="1:27" ht="12.75">
      <c r="A7" s="437" t="s">
        <v>261</v>
      </c>
      <c r="B7" s="448">
        <v>0</v>
      </c>
      <c r="C7" s="439"/>
      <c r="D7" s="440">
        <v>6</v>
      </c>
      <c r="E7" s="100">
        <f t="shared" ref="E7:E21" si="0">AVERAGE(N29:P29)</f>
        <v>135</v>
      </c>
      <c r="F7" s="428"/>
      <c r="G7" s="949" t="s">
        <v>28</v>
      </c>
      <c r="H7" s="441">
        <v>117547</v>
      </c>
      <c r="I7" s="443" t="s">
        <v>261</v>
      </c>
      <c r="J7" s="116">
        <v>24</v>
      </c>
      <c r="K7" s="116"/>
      <c r="L7" s="116">
        <v>744</v>
      </c>
      <c r="M7" s="116">
        <v>72</v>
      </c>
      <c r="N7" s="116">
        <v>360</v>
      </c>
      <c r="O7" s="116">
        <v>240</v>
      </c>
      <c r="P7" s="116">
        <v>300</v>
      </c>
      <c r="Q7" s="127"/>
      <c r="R7" s="462">
        <v>360</v>
      </c>
      <c r="S7" s="444"/>
      <c r="T7" s="444"/>
      <c r="U7" s="444">
        <v>72</v>
      </c>
      <c r="V7" s="444"/>
      <c r="W7" s="116"/>
      <c r="X7" s="127">
        <f t="shared" ref="X7:X13" si="1">B7*D7</f>
        <v>0</v>
      </c>
      <c r="Y7" s="446"/>
      <c r="Z7" s="446"/>
      <c r="AA7" s="446"/>
    </row>
    <row r="8" spans="1:27" ht="12.75">
      <c r="A8" s="437" t="s">
        <v>269</v>
      </c>
      <c r="B8" s="448">
        <v>0</v>
      </c>
      <c r="C8" s="439">
        <v>1500</v>
      </c>
      <c r="D8" s="440">
        <v>1</v>
      </c>
      <c r="E8" s="100">
        <f t="shared" si="0"/>
        <v>846</v>
      </c>
      <c r="F8" s="428"/>
      <c r="G8" s="869"/>
      <c r="H8" s="441">
        <v>552897</v>
      </c>
      <c r="I8" s="443" t="s">
        <v>269</v>
      </c>
      <c r="J8" s="116">
        <v>6566</v>
      </c>
      <c r="K8" s="116">
        <v>1300</v>
      </c>
      <c r="L8" s="214">
        <v>400</v>
      </c>
      <c r="M8" s="116">
        <v>600</v>
      </c>
      <c r="N8" s="116"/>
      <c r="O8" s="116"/>
      <c r="P8" s="116"/>
      <c r="Q8" s="127"/>
      <c r="R8" s="144">
        <v>1793</v>
      </c>
      <c r="S8" s="444">
        <v>153</v>
      </c>
      <c r="T8" s="444">
        <v>1500</v>
      </c>
      <c r="U8" s="444"/>
      <c r="V8" s="444"/>
      <c r="W8" s="116">
        <v>2100</v>
      </c>
      <c r="X8" s="127">
        <f t="shared" si="1"/>
        <v>0</v>
      </c>
      <c r="Y8" s="446"/>
      <c r="Z8" s="446"/>
      <c r="AA8" s="446"/>
    </row>
    <row r="9" spans="1:27" ht="12.75">
      <c r="A9" s="437" t="s">
        <v>270</v>
      </c>
      <c r="B9" s="448">
        <v>0</v>
      </c>
      <c r="C9" s="439"/>
      <c r="D9" s="440">
        <v>3</v>
      </c>
      <c r="E9" s="100">
        <f t="shared" si="0"/>
        <v>55.666666666666664</v>
      </c>
      <c r="F9" s="428"/>
      <c r="G9" s="869"/>
      <c r="H9" s="441">
        <v>117771</v>
      </c>
      <c r="I9" s="443" t="s">
        <v>270</v>
      </c>
      <c r="J9" s="116">
        <v>282</v>
      </c>
      <c r="K9" s="116"/>
      <c r="L9" s="116"/>
      <c r="M9" s="116"/>
      <c r="N9" s="116">
        <v>240</v>
      </c>
      <c r="O9" s="116">
        <v>204</v>
      </c>
      <c r="P9" s="116"/>
      <c r="Q9" s="127"/>
      <c r="R9" s="462">
        <v>150</v>
      </c>
      <c r="S9" s="444"/>
      <c r="T9" s="444">
        <v>30</v>
      </c>
      <c r="U9" s="444"/>
      <c r="V9" s="444"/>
      <c r="W9" s="116">
        <v>120</v>
      </c>
      <c r="X9" s="127">
        <f t="shared" si="1"/>
        <v>0</v>
      </c>
      <c r="Y9" s="446"/>
      <c r="Z9" s="446"/>
      <c r="AA9" s="446"/>
    </row>
    <row r="10" spans="1:27" ht="12.75">
      <c r="A10" s="437" t="s">
        <v>271</v>
      </c>
      <c r="B10" s="448">
        <v>12</v>
      </c>
      <c r="C10" s="439"/>
      <c r="D10" s="440">
        <v>3</v>
      </c>
      <c r="E10" s="100">
        <f t="shared" si="0"/>
        <v>60.333333333333336</v>
      </c>
      <c r="F10" s="428"/>
      <c r="G10" s="869"/>
      <c r="H10" s="441">
        <v>646546</v>
      </c>
      <c r="I10" s="443" t="s">
        <v>271</v>
      </c>
      <c r="J10" s="116">
        <v>84</v>
      </c>
      <c r="K10" s="116"/>
      <c r="L10" s="116"/>
      <c r="M10" s="116"/>
      <c r="N10" s="116">
        <v>204</v>
      </c>
      <c r="O10" s="116">
        <v>165</v>
      </c>
      <c r="P10" s="116"/>
      <c r="Q10" s="127"/>
      <c r="R10" s="462"/>
      <c r="S10" s="444"/>
      <c r="T10" s="444"/>
      <c r="U10" s="444">
        <v>51</v>
      </c>
      <c r="V10" s="444">
        <v>6</v>
      </c>
      <c r="W10" s="116">
        <v>45</v>
      </c>
      <c r="X10" s="127">
        <f t="shared" si="1"/>
        <v>36</v>
      </c>
      <c r="Y10" s="446"/>
      <c r="Z10" s="446"/>
      <c r="AA10" s="446"/>
    </row>
    <row r="11" spans="1:27" ht="12.75">
      <c r="A11" s="437" t="s">
        <v>272</v>
      </c>
      <c r="B11" s="448">
        <v>0</v>
      </c>
      <c r="C11" s="439"/>
      <c r="D11" s="440">
        <v>3</v>
      </c>
      <c r="E11" s="100">
        <f t="shared" si="0"/>
        <v>20.400000000000002</v>
      </c>
      <c r="F11" s="428"/>
      <c r="G11" s="869"/>
      <c r="H11" s="441">
        <v>646567</v>
      </c>
      <c r="I11" s="443" t="s">
        <v>272</v>
      </c>
      <c r="J11" s="117">
        <v>111</v>
      </c>
      <c r="K11" s="117"/>
      <c r="L11" s="117">
        <v>69</v>
      </c>
      <c r="M11" s="117"/>
      <c r="N11" s="117"/>
      <c r="O11" s="117"/>
      <c r="P11" s="117"/>
      <c r="Q11" s="212"/>
      <c r="R11" s="466">
        <f>48+12</f>
        <v>60</v>
      </c>
      <c r="S11" s="450">
        <f>228</f>
        <v>228</v>
      </c>
      <c r="T11" s="450">
        <f>48-48</f>
        <v>0</v>
      </c>
      <c r="U11" s="451"/>
      <c r="V11" s="444"/>
      <c r="W11" s="452">
        <f>48-48</f>
        <v>0</v>
      </c>
      <c r="X11" s="127">
        <f t="shared" si="1"/>
        <v>0</v>
      </c>
      <c r="Y11" s="446"/>
      <c r="Z11" s="446"/>
      <c r="AA11" s="446"/>
    </row>
    <row r="12" spans="1:27" ht="12.75">
      <c r="A12" s="437" t="s">
        <v>273</v>
      </c>
      <c r="B12" s="448">
        <v>0</v>
      </c>
      <c r="C12" s="439"/>
      <c r="D12" s="440">
        <v>12</v>
      </c>
      <c r="E12" s="100">
        <f t="shared" si="0"/>
        <v>33</v>
      </c>
      <c r="F12" s="428"/>
      <c r="G12" s="869"/>
      <c r="H12" s="441">
        <v>691217</v>
      </c>
      <c r="I12" s="443" t="s">
        <v>273</v>
      </c>
      <c r="J12" s="116">
        <v>12</v>
      </c>
      <c r="K12" s="116"/>
      <c r="L12" s="214">
        <v>14</v>
      </c>
      <c r="M12" s="116">
        <v>60</v>
      </c>
      <c r="N12" s="116">
        <v>180</v>
      </c>
      <c r="O12" s="116">
        <v>84</v>
      </c>
      <c r="P12" s="116"/>
      <c r="Q12" s="453"/>
      <c r="R12" s="462"/>
      <c r="S12" s="444">
        <v>48</v>
      </c>
      <c r="T12" s="444"/>
      <c r="U12" s="444">
        <v>36</v>
      </c>
      <c r="V12" s="444"/>
      <c r="W12" s="116">
        <v>48</v>
      </c>
      <c r="X12" s="127">
        <f t="shared" si="1"/>
        <v>0</v>
      </c>
      <c r="Y12" s="446"/>
      <c r="Z12" s="446"/>
      <c r="AA12" s="446"/>
    </row>
    <row r="13" spans="1:27" ht="12.75">
      <c r="A13" s="437" t="s">
        <v>274</v>
      </c>
      <c r="B13" s="448">
        <v>0</v>
      </c>
      <c r="C13" s="439">
        <v>1008</v>
      </c>
      <c r="D13" s="440">
        <v>12</v>
      </c>
      <c r="E13" s="100">
        <f t="shared" si="0"/>
        <v>2654.3333333333335</v>
      </c>
      <c r="F13" s="428"/>
      <c r="G13" s="869"/>
      <c r="H13" s="441">
        <v>611174</v>
      </c>
      <c r="I13" s="454" t="s">
        <v>274</v>
      </c>
      <c r="J13" s="117"/>
      <c r="K13" s="117"/>
      <c r="L13" s="117"/>
      <c r="M13" s="117">
        <v>12144</v>
      </c>
      <c r="N13" s="117">
        <v>168</v>
      </c>
      <c r="O13" s="117"/>
      <c r="P13" s="117"/>
      <c r="Q13" s="212">
        <v>11988</v>
      </c>
      <c r="R13" s="213"/>
      <c r="S13" s="455">
        <v>12192</v>
      </c>
      <c r="T13" s="451"/>
      <c r="U13" s="451"/>
      <c r="V13" s="451"/>
      <c r="W13" s="214">
        <f>2000*12</f>
        <v>24000</v>
      </c>
      <c r="X13" s="127">
        <f t="shared" si="1"/>
        <v>0</v>
      </c>
      <c r="Y13" s="446"/>
      <c r="Z13" s="446"/>
      <c r="AA13" s="446"/>
    </row>
    <row r="14" spans="1:27" ht="12.75">
      <c r="A14" s="437" t="s">
        <v>275</v>
      </c>
      <c r="B14" s="448">
        <v>1350</v>
      </c>
      <c r="C14" s="439"/>
      <c r="D14" s="440">
        <v>6</v>
      </c>
      <c r="E14" s="100">
        <f t="shared" si="0"/>
        <v>1769.6666666666667</v>
      </c>
      <c r="F14" s="428"/>
      <c r="G14" s="869"/>
      <c r="H14" s="441">
        <v>701775</v>
      </c>
      <c r="I14" s="454" t="s">
        <v>275</v>
      </c>
      <c r="J14" s="116">
        <v>4386</v>
      </c>
      <c r="K14" s="116"/>
      <c r="L14" s="116"/>
      <c r="M14" s="116"/>
      <c r="N14" s="116">
        <v>9720</v>
      </c>
      <c r="O14" s="116">
        <v>1944</v>
      </c>
      <c r="P14" s="116"/>
      <c r="Q14" s="127"/>
      <c r="R14" s="144"/>
      <c r="S14" s="444">
        <v>4608</v>
      </c>
      <c r="T14" s="444"/>
      <c r="U14" s="444"/>
      <c r="V14" s="451"/>
      <c r="W14" s="483">
        <v>1440</v>
      </c>
      <c r="X14" s="486">
        <v>4920</v>
      </c>
      <c r="Y14" s="446">
        <f>B14*D14</f>
        <v>8100</v>
      </c>
      <c r="Z14" s="446"/>
      <c r="AA14" s="446"/>
    </row>
    <row r="15" spans="1:27" ht="12.75">
      <c r="A15" s="437" t="s">
        <v>277</v>
      </c>
      <c r="B15" s="448">
        <v>0</v>
      </c>
      <c r="C15" s="439"/>
      <c r="D15" s="440">
        <v>3</v>
      </c>
      <c r="E15" s="100">
        <f t="shared" si="0"/>
        <v>52.333333333333336</v>
      </c>
      <c r="F15" s="428"/>
      <c r="G15" s="869"/>
      <c r="H15" s="441">
        <v>646548</v>
      </c>
      <c r="I15" s="443" t="s">
        <v>277</v>
      </c>
      <c r="J15" s="116">
        <v>117</v>
      </c>
      <c r="K15" s="116"/>
      <c r="L15" s="116">
        <v>168</v>
      </c>
      <c r="M15" s="116"/>
      <c r="N15" s="116">
        <v>60</v>
      </c>
      <c r="O15" s="116">
        <v>138</v>
      </c>
      <c r="P15" s="116"/>
      <c r="Q15" s="127"/>
      <c r="R15" s="462">
        <v>45</v>
      </c>
      <c r="S15" s="444"/>
      <c r="T15" s="444">
        <v>162</v>
      </c>
      <c r="U15" s="444"/>
      <c r="V15" s="444"/>
      <c r="W15" s="116">
        <v>135</v>
      </c>
      <c r="X15" s="127">
        <f t="shared" ref="X15:X22" si="2">B15*D15</f>
        <v>0</v>
      </c>
      <c r="Y15" s="446"/>
      <c r="Z15" s="446"/>
      <c r="AA15" s="446"/>
    </row>
    <row r="16" spans="1:27" ht="12.75">
      <c r="A16" s="437" t="s">
        <v>279</v>
      </c>
      <c r="B16" s="448">
        <v>0</v>
      </c>
      <c r="C16" s="439"/>
      <c r="D16" s="440">
        <v>6</v>
      </c>
      <c r="E16" s="100">
        <f t="shared" si="0"/>
        <v>44</v>
      </c>
      <c r="F16" s="428"/>
      <c r="G16" s="869"/>
      <c r="H16" s="441">
        <v>589462</v>
      </c>
      <c r="I16" s="443" t="s">
        <v>279</v>
      </c>
      <c r="J16" s="116">
        <v>150</v>
      </c>
      <c r="K16" s="116"/>
      <c r="L16" s="116">
        <v>162</v>
      </c>
      <c r="M16" s="116"/>
      <c r="N16" s="116">
        <v>60</v>
      </c>
      <c r="O16" s="116">
        <v>132</v>
      </c>
      <c r="P16" s="116"/>
      <c r="Q16" s="127"/>
      <c r="R16" s="462"/>
      <c r="S16" s="444">
        <v>168</v>
      </c>
      <c r="T16" s="450">
        <f>60-60</f>
        <v>0</v>
      </c>
      <c r="U16" s="444"/>
      <c r="V16" s="450">
        <v>60</v>
      </c>
      <c r="W16" s="116">
        <v>60</v>
      </c>
      <c r="X16" s="127">
        <f t="shared" si="2"/>
        <v>0</v>
      </c>
      <c r="Y16" s="446"/>
      <c r="Z16" s="446"/>
      <c r="AA16" s="446"/>
    </row>
    <row r="17" spans="1:27" ht="12.75">
      <c r="A17" s="437" t="s">
        <v>281</v>
      </c>
      <c r="B17" s="448">
        <v>0</v>
      </c>
      <c r="C17" s="439"/>
      <c r="D17" s="440">
        <v>6</v>
      </c>
      <c r="E17" s="100">
        <f t="shared" si="0"/>
        <v>79</v>
      </c>
      <c r="F17" s="428"/>
      <c r="G17" s="869"/>
      <c r="H17" s="441">
        <v>589466</v>
      </c>
      <c r="I17" s="443" t="s">
        <v>281</v>
      </c>
      <c r="J17" s="117">
        <v>186</v>
      </c>
      <c r="K17" s="117"/>
      <c r="L17" s="117">
        <v>258</v>
      </c>
      <c r="M17" s="117"/>
      <c r="N17" s="214">
        <f>180-141</f>
        <v>39</v>
      </c>
      <c r="O17" s="117">
        <v>330</v>
      </c>
      <c r="P17" s="117"/>
      <c r="Q17" s="258">
        <f>54-54</f>
        <v>0</v>
      </c>
      <c r="R17" s="502">
        <f>300+30+12</f>
        <v>342</v>
      </c>
      <c r="S17" s="451">
        <v>30</v>
      </c>
      <c r="T17" s="450">
        <f>300-300</f>
        <v>0</v>
      </c>
      <c r="U17" s="450">
        <f>30-30</f>
        <v>0</v>
      </c>
      <c r="V17" s="450">
        <f>12-12</f>
        <v>0</v>
      </c>
      <c r="W17" s="117">
        <v>420</v>
      </c>
      <c r="X17" s="127">
        <f t="shared" si="2"/>
        <v>0</v>
      </c>
      <c r="Y17" s="446"/>
      <c r="Z17" s="446"/>
      <c r="AA17" s="446"/>
    </row>
    <row r="18" spans="1:27" ht="12.75">
      <c r="A18" s="437" t="s">
        <v>282</v>
      </c>
      <c r="B18" s="448">
        <v>0</v>
      </c>
      <c r="C18" s="439"/>
      <c r="D18" s="440">
        <v>3</v>
      </c>
      <c r="E18" s="100">
        <f t="shared" si="0"/>
        <v>177.66666666666666</v>
      </c>
      <c r="F18" s="428"/>
      <c r="G18" s="869"/>
      <c r="H18" s="441">
        <v>116180</v>
      </c>
      <c r="I18" s="443" t="s">
        <v>282</v>
      </c>
      <c r="J18" s="218">
        <v>108</v>
      </c>
      <c r="K18" s="218"/>
      <c r="L18" s="218">
        <v>540</v>
      </c>
      <c r="M18" s="218"/>
      <c r="N18" s="218">
        <v>90</v>
      </c>
      <c r="O18" s="218">
        <v>735</v>
      </c>
      <c r="P18" s="218"/>
      <c r="Q18" s="453"/>
      <c r="R18" s="506">
        <v>600</v>
      </c>
      <c r="S18" s="459"/>
      <c r="T18" s="459">
        <v>1440</v>
      </c>
      <c r="U18" s="459">
        <v>330</v>
      </c>
      <c r="V18" s="444"/>
      <c r="W18" s="218">
        <v>390</v>
      </c>
      <c r="X18" s="127">
        <f t="shared" si="2"/>
        <v>0</v>
      </c>
      <c r="Y18" s="446"/>
      <c r="Z18" s="446"/>
      <c r="AA18" s="446"/>
    </row>
    <row r="19" spans="1:27" ht="12.75">
      <c r="A19" s="437" t="s">
        <v>283</v>
      </c>
      <c r="B19" s="448">
        <v>0</v>
      </c>
      <c r="C19" s="439"/>
      <c r="D19" s="440">
        <v>6</v>
      </c>
      <c r="E19" s="100">
        <f t="shared" si="0"/>
        <v>70.36666666666666</v>
      </c>
      <c r="F19" s="428"/>
      <c r="G19" s="869"/>
      <c r="H19" s="441">
        <v>695413</v>
      </c>
      <c r="I19" s="443" t="s">
        <v>283</v>
      </c>
      <c r="J19" s="116">
        <v>102</v>
      </c>
      <c r="K19" s="116"/>
      <c r="L19" s="116">
        <v>240</v>
      </c>
      <c r="M19" s="116"/>
      <c r="N19" s="116">
        <v>120</v>
      </c>
      <c r="O19" s="116">
        <v>96</v>
      </c>
      <c r="P19" s="116"/>
      <c r="Q19" s="127"/>
      <c r="R19" s="462">
        <v>72</v>
      </c>
      <c r="S19" s="444"/>
      <c r="T19" s="444">
        <v>48</v>
      </c>
      <c r="U19" s="511">
        <v>96</v>
      </c>
      <c r="V19" s="444"/>
      <c r="W19" s="483">
        <v>96</v>
      </c>
      <c r="X19" s="127">
        <f t="shared" si="2"/>
        <v>0</v>
      </c>
      <c r="Y19" s="446"/>
      <c r="Z19" s="446"/>
      <c r="AA19" s="446"/>
    </row>
    <row r="20" spans="1:27" ht="12.75">
      <c r="A20" s="437" t="s">
        <v>284</v>
      </c>
      <c r="B20" s="448">
        <v>0</v>
      </c>
      <c r="C20" s="439"/>
      <c r="D20" s="440">
        <v>6</v>
      </c>
      <c r="E20" s="100">
        <f t="shared" si="0"/>
        <v>22.366666666666664</v>
      </c>
      <c r="F20" s="428"/>
      <c r="G20" s="869"/>
      <c r="H20" s="441">
        <v>699883</v>
      </c>
      <c r="I20" s="443" t="s">
        <v>284</v>
      </c>
      <c r="J20" s="116">
        <v>96</v>
      </c>
      <c r="K20" s="116"/>
      <c r="L20" s="116">
        <v>132</v>
      </c>
      <c r="M20" s="116"/>
      <c r="N20" s="116">
        <v>90</v>
      </c>
      <c r="O20" s="116">
        <v>144</v>
      </c>
      <c r="P20" s="116"/>
      <c r="Q20" s="127"/>
      <c r="R20" s="462">
        <v>72</v>
      </c>
      <c r="S20" s="444"/>
      <c r="T20" s="444"/>
      <c r="U20" s="444"/>
      <c r="V20" s="444"/>
      <c r="W20" s="116">
        <v>36</v>
      </c>
      <c r="X20" s="127">
        <f t="shared" si="2"/>
        <v>0</v>
      </c>
      <c r="Y20" s="446"/>
      <c r="Z20" s="446"/>
      <c r="AA20" s="446"/>
    </row>
    <row r="21" spans="1:27" ht="12.75">
      <c r="A21" s="437" t="s">
        <v>285</v>
      </c>
      <c r="B21" s="448">
        <v>150</v>
      </c>
      <c r="C21" s="439"/>
      <c r="D21" s="440">
        <v>12</v>
      </c>
      <c r="E21" s="100">
        <f t="shared" si="0"/>
        <v>652.33333333333337</v>
      </c>
      <c r="F21" s="428"/>
      <c r="G21" s="869"/>
      <c r="H21" s="441">
        <v>645380</v>
      </c>
      <c r="I21" s="470" t="s">
        <v>285</v>
      </c>
      <c r="J21" s="471">
        <v>12</v>
      </c>
      <c r="K21" s="471"/>
      <c r="L21" s="471">
        <v>3456</v>
      </c>
      <c r="M21" s="471">
        <v>456</v>
      </c>
      <c r="N21" s="471">
        <v>2592</v>
      </c>
      <c r="O21" s="471">
        <v>2400</v>
      </c>
      <c r="P21" s="471"/>
      <c r="Q21" s="472">
        <v>240</v>
      </c>
      <c r="R21" s="513">
        <v>1800</v>
      </c>
      <c r="S21" s="473"/>
      <c r="T21" s="473">
        <v>840</v>
      </c>
      <c r="U21" s="473"/>
      <c r="V21" s="473">
        <v>1560</v>
      </c>
      <c r="W21" s="471">
        <v>480</v>
      </c>
      <c r="X21" s="472">
        <f t="shared" si="2"/>
        <v>1800</v>
      </c>
      <c r="Y21" s="446"/>
      <c r="Z21" s="446"/>
      <c r="AA21" s="446"/>
    </row>
    <row r="22" spans="1:27" ht="12.75">
      <c r="A22" s="437" t="s">
        <v>288</v>
      </c>
      <c r="B22" s="448">
        <v>0</v>
      </c>
      <c r="C22" s="439">
        <v>331</v>
      </c>
      <c r="D22" s="440">
        <v>1</v>
      </c>
      <c r="E22" s="100">
        <v>1</v>
      </c>
      <c r="F22" s="428"/>
      <c r="G22" s="869"/>
      <c r="H22" s="441">
        <v>578785</v>
      </c>
      <c r="I22" s="443" t="s">
        <v>288</v>
      </c>
      <c r="J22" s="116"/>
      <c r="K22" s="116"/>
      <c r="L22" s="116">
        <v>1162</v>
      </c>
      <c r="M22" s="116">
        <v>20</v>
      </c>
      <c r="N22" s="116"/>
      <c r="O22" s="116">
        <v>331</v>
      </c>
      <c r="P22" s="116">
        <v>331</v>
      </c>
      <c r="Q22" s="212"/>
      <c r="R22" s="144">
        <v>1064</v>
      </c>
      <c r="S22" s="444"/>
      <c r="T22" s="444">
        <v>331</v>
      </c>
      <c r="U22" s="444"/>
      <c r="V22" s="444">
        <v>331</v>
      </c>
      <c r="W22" s="116">
        <v>620</v>
      </c>
      <c r="X22" s="127">
        <f t="shared" si="2"/>
        <v>0</v>
      </c>
      <c r="Y22" s="446"/>
      <c r="Z22" s="446"/>
      <c r="AA22" s="446"/>
    </row>
    <row r="23" spans="1:27" ht="12.75">
      <c r="B23" s="478">
        <f>SUM(B7:B22)</f>
        <v>1512</v>
      </c>
      <c r="F23" s="428"/>
      <c r="G23" s="869"/>
      <c r="H23" s="950" t="s">
        <v>38</v>
      </c>
      <c r="I23" s="860"/>
      <c r="J23" s="480">
        <f t="shared" ref="J23:AA23" si="3">SUM(J7:J22)</f>
        <v>12236</v>
      </c>
      <c r="K23" s="480">
        <f t="shared" si="3"/>
        <v>1300</v>
      </c>
      <c r="L23" s="480">
        <f t="shared" si="3"/>
        <v>7345</v>
      </c>
      <c r="M23" s="480">
        <f t="shared" si="3"/>
        <v>13352</v>
      </c>
      <c r="N23" s="480">
        <f t="shared" si="3"/>
        <v>13923</v>
      </c>
      <c r="O23" s="480">
        <f t="shared" si="3"/>
        <v>6943</v>
      </c>
      <c r="P23" s="480">
        <f t="shared" si="3"/>
        <v>631</v>
      </c>
      <c r="Q23" s="481">
        <f t="shared" si="3"/>
        <v>12228</v>
      </c>
      <c r="R23" s="482">
        <f t="shared" si="3"/>
        <v>6358</v>
      </c>
      <c r="S23" s="482">
        <f t="shared" si="3"/>
        <v>17427</v>
      </c>
      <c r="T23" s="482">
        <f t="shared" si="3"/>
        <v>4351</v>
      </c>
      <c r="U23" s="482">
        <f t="shared" si="3"/>
        <v>585</v>
      </c>
      <c r="V23" s="482">
        <f t="shared" si="3"/>
        <v>1957</v>
      </c>
      <c r="W23" s="480">
        <f t="shared" si="3"/>
        <v>29990</v>
      </c>
      <c r="X23" s="481">
        <f t="shared" si="3"/>
        <v>6756</v>
      </c>
      <c r="Y23" s="482">
        <f t="shared" si="3"/>
        <v>8100</v>
      </c>
      <c r="Z23" s="482">
        <f t="shared" si="3"/>
        <v>0</v>
      </c>
      <c r="AA23" s="482">
        <f t="shared" si="3"/>
        <v>0</v>
      </c>
    </row>
    <row r="24" spans="1:27" ht="12.75">
      <c r="B24" s="426"/>
      <c r="F24" s="428"/>
      <c r="G24" s="869"/>
      <c r="H24" s="950" t="s">
        <v>39</v>
      </c>
      <c r="I24" s="860"/>
      <c r="J24" s="480">
        <f>금액!H54</f>
        <v>1194489772.1000001</v>
      </c>
      <c r="K24" s="480">
        <f>금액!I54</f>
        <v>170734759</v>
      </c>
      <c r="L24" s="480">
        <f>금액!J54</f>
        <v>471526393.40999997</v>
      </c>
      <c r="M24" s="480">
        <f>금액!K54</f>
        <v>498217262.60000002</v>
      </c>
      <c r="N24" s="480">
        <f>금액!L54</f>
        <v>721547527.88999999</v>
      </c>
      <c r="O24" s="480">
        <f>금액!M54</f>
        <v>406400273.53000003</v>
      </c>
      <c r="P24" s="480">
        <f>금액!N54</f>
        <v>52484812.329999998</v>
      </c>
      <c r="Q24" s="481">
        <f>금액!O54</f>
        <v>391373901.12</v>
      </c>
      <c r="R24" s="482">
        <f>금액!P54</f>
        <v>407612201.61000001</v>
      </c>
      <c r="S24" s="482">
        <f>금액!Q54</f>
        <v>845588434.72000003</v>
      </c>
      <c r="T24" s="482">
        <f>금액!R54</f>
        <v>406889890.86999995</v>
      </c>
      <c r="U24" s="482">
        <f>금액!S54</f>
        <v>203776544.69999999</v>
      </c>
      <c r="V24" s="482">
        <f>금액!T54</f>
        <v>104285494.56999999</v>
      </c>
      <c r="W24" s="480">
        <f>금액!U54</f>
        <v>1327574100.1099999</v>
      </c>
      <c r="X24" s="481">
        <f>금액!V54</f>
        <v>324853763.03999996</v>
      </c>
      <c r="Y24" s="482">
        <f>금액!W54</f>
        <v>286869308.49000001</v>
      </c>
      <c r="Z24" s="482">
        <f>금액!X54</f>
        <v>0</v>
      </c>
      <c r="AA24" s="482">
        <f>금액!Y54</f>
        <v>0</v>
      </c>
    </row>
    <row r="25" spans="1:27" ht="12.75">
      <c r="B25" s="426"/>
      <c r="F25" s="428"/>
      <c r="G25" s="870"/>
      <c r="H25" s="950" t="s">
        <v>40</v>
      </c>
      <c r="I25" s="860"/>
      <c r="J25" s="480">
        <f t="shared" ref="J25:AA25" si="4">J24*$G$5</f>
        <v>2066467305733.0002</v>
      </c>
      <c r="K25" s="480">
        <f t="shared" si="4"/>
        <v>295371133070</v>
      </c>
      <c r="L25" s="480">
        <f t="shared" si="4"/>
        <v>815740660599.29993</v>
      </c>
      <c r="M25" s="480">
        <f t="shared" si="4"/>
        <v>861915864298</v>
      </c>
      <c r="N25" s="480">
        <f t="shared" si="4"/>
        <v>1248277223249.7</v>
      </c>
      <c r="O25" s="480">
        <f t="shared" si="4"/>
        <v>703072473206.90002</v>
      </c>
      <c r="P25" s="480">
        <f t="shared" si="4"/>
        <v>90798725330.899994</v>
      </c>
      <c r="Q25" s="508">
        <f t="shared" si="4"/>
        <v>677076848937.59998</v>
      </c>
      <c r="R25" s="482">
        <f t="shared" si="4"/>
        <v>705169108785.30005</v>
      </c>
      <c r="S25" s="482">
        <f t="shared" si="4"/>
        <v>1462867992065.6001</v>
      </c>
      <c r="T25" s="482">
        <f t="shared" si="4"/>
        <v>703919511205.09985</v>
      </c>
      <c r="U25" s="482">
        <f t="shared" si="4"/>
        <v>352533422331</v>
      </c>
      <c r="V25" s="482">
        <f t="shared" si="4"/>
        <v>180413905606.09998</v>
      </c>
      <c r="W25" s="480">
        <f t="shared" si="4"/>
        <v>2296703193190.2998</v>
      </c>
      <c r="X25" s="508">
        <f t="shared" si="4"/>
        <v>561997010059.19995</v>
      </c>
      <c r="Y25" s="482">
        <f t="shared" si="4"/>
        <v>496283903687.70001</v>
      </c>
      <c r="Z25" s="482">
        <f t="shared" si="4"/>
        <v>0</v>
      </c>
      <c r="AA25" s="482">
        <f t="shared" si="4"/>
        <v>0</v>
      </c>
    </row>
    <row r="26" spans="1:27" ht="12.75">
      <c r="B26" s="512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S26" s="428"/>
      <c r="T26" s="428"/>
      <c r="U26" s="428"/>
      <c r="V26" s="428"/>
      <c r="W26" s="428"/>
      <c r="X26" s="428"/>
    </row>
    <row r="27" spans="1:27" ht="12.75">
      <c r="B27" s="512"/>
      <c r="F27" s="428"/>
      <c r="G27" s="428"/>
      <c r="H27" s="428"/>
      <c r="I27" s="428"/>
      <c r="J27" s="77" t="s">
        <v>42</v>
      </c>
      <c r="K27" s="77" t="s">
        <v>42</v>
      </c>
      <c r="L27" s="77" t="s">
        <v>294</v>
      </c>
      <c r="M27" s="77" t="s">
        <v>42</v>
      </c>
      <c r="N27" s="77" t="s">
        <v>294</v>
      </c>
      <c r="O27" s="77" t="s">
        <v>42</v>
      </c>
      <c r="P27" s="77" t="s">
        <v>42</v>
      </c>
      <c r="Q27" s="514" t="s">
        <v>42</v>
      </c>
      <c r="R27" s="77" t="s">
        <v>42</v>
      </c>
      <c r="S27" s="77" t="s">
        <v>42</v>
      </c>
      <c r="T27" s="77" t="s">
        <v>42</v>
      </c>
      <c r="U27" s="77" t="s">
        <v>42</v>
      </c>
      <c r="V27" s="77" t="s">
        <v>42</v>
      </c>
      <c r="W27" s="77" t="s">
        <v>42</v>
      </c>
      <c r="X27" s="514" t="s">
        <v>42</v>
      </c>
      <c r="Y27" s="77" t="s">
        <v>42</v>
      </c>
      <c r="Z27" s="77" t="s">
        <v>42</v>
      </c>
      <c r="AA27" s="77" t="s">
        <v>42</v>
      </c>
    </row>
    <row r="28" spans="1:27" ht="12.75" outlineLevel="1">
      <c r="B28" s="426"/>
      <c r="F28" s="428"/>
      <c r="G28" s="951" t="s">
        <v>43</v>
      </c>
      <c r="H28" s="879"/>
      <c r="I28" s="860"/>
      <c r="J28" s="516" t="s">
        <v>17</v>
      </c>
      <c r="K28" s="516" t="s">
        <v>18</v>
      </c>
      <c r="L28" s="516" t="s">
        <v>19</v>
      </c>
      <c r="M28" s="516" t="s">
        <v>20</v>
      </c>
      <c r="N28" s="516" t="s">
        <v>21</v>
      </c>
      <c r="O28" s="516" t="s">
        <v>22</v>
      </c>
      <c r="P28" s="516" t="s">
        <v>23</v>
      </c>
      <c r="Q28" s="517" t="s">
        <v>107</v>
      </c>
      <c r="R28" s="519" t="s">
        <v>25</v>
      </c>
      <c r="S28" s="516" t="s">
        <v>26</v>
      </c>
      <c r="T28" s="516" t="s">
        <v>15</v>
      </c>
      <c r="U28" s="516" t="s">
        <v>16</v>
      </c>
      <c r="V28" s="516" t="s">
        <v>17</v>
      </c>
      <c r="W28" s="516" t="s">
        <v>18</v>
      </c>
      <c r="X28" s="517" t="s">
        <v>19</v>
      </c>
      <c r="Y28" s="519" t="s">
        <v>20</v>
      </c>
      <c r="Z28" s="519" t="s">
        <v>21</v>
      </c>
      <c r="AA28" s="519" t="s">
        <v>22</v>
      </c>
    </row>
    <row r="29" spans="1:27" ht="12.75" outlineLevel="1">
      <c r="A29" s="118"/>
      <c r="B29" s="520"/>
      <c r="C29" s="118"/>
      <c r="D29" s="118"/>
      <c r="E29" s="118"/>
      <c r="F29" s="428"/>
      <c r="G29" s="952" t="s">
        <v>296</v>
      </c>
      <c r="H29" s="441">
        <v>117547</v>
      </c>
      <c r="I29" s="523" t="s">
        <v>261</v>
      </c>
      <c r="J29" s="524">
        <v>73</v>
      </c>
      <c r="K29" s="524">
        <v>85</v>
      </c>
      <c r="L29" s="524">
        <v>103</v>
      </c>
      <c r="M29" s="524">
        <v>150</v>
      </c>
      <c r="N29" s="524">
        <v>132</v>
      </c>
      <c r="O29" s="524">
        <v>136</v>
      </c>
      <c r="P29" s="524">
        <v>137</v>
      </c>
      <c r="Q29" s="527">
        <v>163</v>
      </c>
      <c r="R29" s="531">
        <v>132</v>
      </c>
      <c r="S29" s="528">
        <v>138</v>
      </c>
      <c r="T29" s="528">
        <v>129</v>
      </c>
      <c r="U29" s="528">
        <v>131</v>
      </c>
      <c r="V29" s="528">
        <v>127</v>
      </c>
      <c r="W29" s="528">
        <v>128</v>
      </c>
      <c r="X29" s="527">
        <v>130</v>
      </c>
      <c r="Y29" s="531">
        <v>131</v>
      </c>
      <c r="Z29" s="531">
        <v>130</v>
      </c>
      <c r="AA29" s="531">
        <v>131</v>
      </c>
    </row>
    <row r="30" spans="1:27" ht="12.75" outlineLevel="1">
      <c r="A30" s="118"/>
      <c r="B30" s="520"/>
      <c r="C30" s="118"/>
      <c r="D30" s="118"/>
      <c r="E30" s="118"/>
      <c r="F30" s="428"/>
      <c r="G30" s="869"/>
      <c r="H30" s="441">
        <v>552897</v>
      </c>
      <c r="I30" s="533" t="s">
        <v>269</v>
      </c>
      <c r="J30" s="524">
        <v>593</v>
      </c>
      <c r="K30" s="524">
        <v>1453</v>
      </c>
      <c r="L30" s="524">
        <v>376</v>
      </c>
      <c r="M30" s="524">
        <v>593</v>
      </c>
      <c r="N30" s="524">
        <v>1352</v>
      </c>
      <c r="O30" s="524">
        <v>593</v>
      </c>
      <c r="P30" s="524">
        <v>593</v>
      </c>
      <c r="Q30" s="535">
        <v>1453</v>
      </c>
      <c r="R30" s="541">
        <v>593</v>
      </c>
      <c r="S30" s="536">
        <v>593</v>
      </c>
      <c r="T30" s="536">
        <v>1453</v>
      </c>
      <c r="U30" s="536">
        <v>593</v>
      </c>
      <c r="V30" s="536">
        <v>593</v>
      </c>
      <c r="W30" s="524">
        <v>1453</v>
      </c>
      <c r="X30" s="535">
        <v>593</v>
      </c>
      <c r="Y30" s="541">
        <v>593</v>
      </c>
      <c r="Z30" s="541"/>
      <c r="AA30" s="541"/>
    </row>
    <row r="31" spans="1:27" ht="12.75" outlineLevel="1">
      <c r="A31" s="118"/>
      <c r="B31" s="520"/>
      <c r="C31" s="118"/>
      <c r="D31" s="118"/>
      <c r="E31" s="118"/>
      <c r="F31" s="428"/>
      <c r="G31" s="869"/>
      <c r="H31" s="441">
        <v>117771</v>
      </c>
      <c r="I31" s="533" t="s">
        <v>270</v>
      </c>
      <c r="J31" s="524">
        <v>56</v>
      </c>
      <c r="K31" s="524">
        <v>120</v>
      </c>
      <c r="L31" s="524">
        <v>6</v>
      </c>
      <c r="M31" s="524">
        <v>30</v>
      </c>
      <c r="N31" s="524">
        <v>107</v>
      </c>
      <c r="O31" s="524">
        <v>30</v>
      </c>
      <c r="P31" s="524">
        <v>30</v>
      </c>
      <c r="Q31" s="535">
        <v>120</v>
      </c>
      <c r="R31" s="541">
        <v>30</v>
      </c>
      <c r="S31" s="536">
        <v>30</v>
      </c>
      <c r="T31" s="536">
        <v>120</v>
      </c>
      <c r="U31" s="536">
        <v>30</v>
      </c>
      <c r="V31" s="536">
        <v>30</v>
      </c>
      <c r="W31" s="524">
        <v>120</v>
      </c>
      <c r="X31" s="535">
        <v>30</v>
      </c>
      <c r="Y31" s="541">
        <v>30</v>
      </c>
      <c r="Z31" s="541"/>
      <c r="AA31" s="541"/>
    </row>
    <row r="32" spans="1:27" ht="12.75" outlineLevel="1">
      <c r="A32" s="118"/>
      <c r="B32" s="520"/>
      <c r="C32" s="118"/>
      <c r="D32" s="118"/>
      <c r="E32" s="118"/>
      <c r="F32" s="428"/>
      <c r="G32" s="869"/>
      <c r="H32" s="441">
        <v>646546</v>
      </c>
      <c r="I32" s="533" t="s">
        <v>271</v>
      </c>
      <c r="J32" s="524">
        <v>35</v>
      </c>
      <c r="K32" s="524">
        <v>40</v>
      </c>
      <c r="L32" s="524">
        <v>1</v>
      </c>
      <c r="M32" s="524">
        <v>39</v>
      </c>
      <c r="N32" s="524">
        <v>103</v>
      </c>
      <c r="O32" s="524">
        <v>39</v>
      </c>
      <c r="P32" s="524">
        <v>39</v>
      </c>
      <c r="Q32" s="535">
        <v>39</v>
      </c>
      <c r="R32" s="541">
        <v>39</v>
      </c>
      <c r="S32" s="536">
        <v>39</v>
      </c>
      <c r="T32" s="536">
        <v>39</v>
      </c>
      <c r="U32" s="536">
        <v>39</v>
      </c>
      <c r="V32" s="536">
        <v>39</v>
      </c>
      <c r="W32" s="524">
        <v>39</v>
      </c>
      <c r="X32" s="535">
        <v>39</v>
      </c>
      <c r="Y32" s="541">
        <v>39</v>
      </c>
      <c r="Z32" s="541"/>
      <c r="AA32" s="541"/>
    </row>
    <row r="33" spans="1:28" ht="12.75" outlineLevel="1">
      <c r="A33" s="118"/>
      <c r="B33" s="520"/>
      <c r="C33" s="118"/>
      <c r="D33" s="118"/>
      <c r="E33" s="118"/>
      <c r="F33" s="428"/>
      <c r="G33" s="869"/>
      <c r="H33" s="441">
        <v>646567</v>
      </c>
      <c r="I33" s="533" t="s">
        <v>272</v>
      </c>
      <c r="J33" s="524">
        <v>22</v>
      </c>
      <c r="K33" s="524">
        <v>70</v>
      </c>
      <c r="L33" s="524">
        <v>0.1</v>
      </c>
      <c r="M33" s="524">
        <v>0.1</v>
      </c>
      <c r="N33" s="524">
        <v>61</v>
      </c>
      <c r="O33" s="524">
        <v>0.1</v>
      </c>
      <c r="P33" s="524">
        <v>0.1</v>
      </c>
      <c r="Q33" s="535">
        <v>69</v>
      </c>
      <c r="R33" s="541">
        <v>0.1</v>
      </c>
      <c r="S33" s="536">
        <v>0.1</v>
      </c>
      <c r="T33" s="536">
        <v>69</v>
      </c>
      <c r="U33" s="536">
        <v>0.1</v>
      </c>
      <c r="V33" s="536">
        <v>0.1</v>
      </c>
      <c r="W33" s="524">
        <v>69</v>
      </c>
      <c r="X33" s="535">
        <v>0.1</v>
      </c>
      <c r="Y33" s="541">
        <v>0.1</v>
      </c>
      <c r="Z33" s="541"/>
      <c r="AA33" s="541"/>
    </row>
    <row r="34" spans="1:28" ht="12.75" outlineLevel="1">
      <c r="A34" s="118"/>
      <c r="B34" s="520"/>
      <c r="C34" s="118"/>
      <c r="D34" s="118"/>
      <c r="E34" s="118"/>
      <c r="F34" s="428"/>
      <c r="G34" s="869"/>
      <c r="H34" s="441">
        <v>691217</v>
      </c>
      <c r="I34" s="533" t="s">
        <v>273</v>
      </c>
      <c r="J34" s="524">
        <v>31</v>
      </c>
      <c r="K34" s="524">
        <v>35</v>
      </c>
      <c r="L34" s="524">
        <v>13</v>
      </c>
      <c r="M34" s="524">
        <v>21</v>
      </c>
      <c r="N34" s="524">
        <v>29</v>
      </c>
      <c r="O34" s="524">
        <v>35</v>
      </c>
      <c r="P34" s="524">
        <v>35</v>
      </c>
      <c r="Q34" s="539">
        <v>35</v>
      </c>
      <c r="R34" s="552">
        <v>35</v>
      </c>
      <c r="S34" s="524">
        <v>35</v>
      </c>
      <c r="T34" s="524">
        <v>35</v>
      </c>
      <c r="U34" s="524">
        <v>35</v>
      </c>
      <c r="V34" s="524">
        <v>35</v>
      </c>
      <c r="W34" s="524">
        <v>35</v>
      </c>
      <c r="X34" s="539">
        <v>35</v>
      </c>
      <c r="Y34" s="552">
        <v>35</v>
      </c>
      <c r="Z34" s="552"/>
      <c r="AA34" s="552"/>
    </row>
    <row r="35" spans="1:28" ht="12.75" outlineLevel="1">
      <c r="A35" s="118"/>
      <c r="B35" s="520"/>
      <c r="C35" s="118"/>
      <c r="D35" s="118"/>
      <c r="E35" s="118"/>
      <c r="F35" s="428"/>
      <c r="G35" s="869"/>
      <c r="H35" s="441">
        <v>611174</v>
      </c>
      <c r="I35" s="523" t="s">
        <v>274</v>
      </c>
      <c r="J35" s="524">
        <v>3850</v>
      </c>
      <c r="K35" s="524">
        <v>1122</v>
      </c>
      <c r="L35" s="524">
        <v>1122</v>
      </c>
      <c r="M35" s="524">
        <v>2160</v>
      </c>
      <c r="N35" s="524">
        <v>2380</v>
      </c>
      <c r="O35" s="524">
        <v>2718</v>
      </c>
      <c r="P35" s="524">
        <v>2865</v>
      </c>
      <c r="Q35" s="527">
        <v>2999</v>
      </c>
      <c r="R35" s="531">
        <v>3089</v>
      </c>
      <c r="S35" s="528">
        <v>3058</v>
      </c>
      <c r="T35" s="528">
        <v>3119</v>
      </c>
      <c r="U35" s="528">
        <v>3150</v>
      </c>
      <c r="V35" s="528">
        <v>3182</v>
      </c>
      <c r="W35" s="528">
        <v>3214</v>
      </c>
      <c r="X35" s="527">
        <v>3182</v>
      </c>
      <c r="Y35" s="531">
        <v>3245</v>
      </c>
      <c r="Z35" s="531">
        <v>3278</v>
      </c>
      <c r="AA35" s="531">
        <v>3310</v>
      </c>
      <c r="AB35" s="118"/>
    </row>
    <row r="36" spans="1:28" ht="12.75" outlineLevel="1">
      <c r="A36" s="118"/>
      <c r="B36" s="520"/>
      <c r="C36" s="118"/>
      <c r="D36" s="118"/>
      <c r="E36" s="118"/>
      <c r="F36" s="428"/>
      <c r="G36" s="869"/>
      <c r="H36" s="441">
        <v>701775</v>
      </c>
      <c r="I36" s="523" t="s">
        <v>275</v>
      </c>
      <c r="J36" s="524">
        <v>1763</v>
      </c>
      <c r="K36" s="524">
        <f>350+333</f>
        <v>683</v>
      </c>
      <c r="L36" s="524">
        <f>350+409</f>
        <v>759</v>
      </c>
      <c r="M36" s="524">
        <f>900+381</f>
        <v>1281</v>
      </c>
      <c r="N36" s="524">
        <v>2327</v>
      </c>
      <c r="O36" s="524">
        <v>1484</v>
      </c>
      <c r="P36" s="524">
        <v>1498</v>
      </c>
      <c r="Q36" s="527">
        <v>3081</v>
      </c>
      <c r="R36" s="531">
        <v>2003</v>
      </c>
      <c r="S36" s="531">
        <v>2163</v>
      </c>
      <c r="T36" s="528">
        <v>3093</v>
      </c>
      <c r="U36" s="528">
        <v>2134</v>
      </c>
      <c r="V36" s="528">
        <v>2262</v>
      </c>
      <c r="W36" s="528">
        <v>3122</v>
      </c>
      <c r="X36" s="527">
        <v>2060</v>
      </c>
      <c r="Y36" s="531">
        <v>2143</v>
      </c>
      <c r="Z36" s="531">
        <v>3193</v>
      </c>
      <c r="AA36" s="531">
        <v>2011</v>
      </c>
      <c r="AB36" s="118"/>
    </row>
    <row r="37" spans="1:28" ht="12.75" outlineLevel="1">
      <c r="A37" s="118"/>
      <c r="B37" s="520"/>
      <c r="C37" s="118"/>
      <c r="D37" s="118"/>
      <c r="E37" s="118"/>
      <c r="F37" s="428"/>
      <c r="G37" s="869"/>
      <c r="H37" s="441">
        <v>646548</v>
      </c>
      <c r="I37" s="533" t="s">
        <v>277</v>
      </c>
      <c r="J37" s="524">
        <v>38</v>
      </c>
      <c r="K37" s="524">
        <v>90</v>
      </c>
      <c r="L37" s="524">
        <v>9</v>
      </c>
      <c r="M37" s="524">
        <v>21</v>
      </c>
      <c r="N37" s="524">
        <v>115</v>
      </c>
      <c r="O37" s="524">
        <v>21</v>
      </c>
      <c r="P37" s="524">
        <v>21</v>
      </c>
      <c r="Q37" s="535">
        <v>90</v>
      </c>
      <c r="R37" s="541">
        <v>21</v>
      </c>
      <c r="S37" s="536">
        <v>21</v>
      </c>
      <c r="T37" s="536">
        <v>90</v>
      </c>
      <c r="U37" s="536">
        <v>21</v>
      </c>
      <c r="V37" s="536">
        <v>21</v>
      </c>
      <c r="W37" s="524">
        <v>90</v>
      </c>
      <c r="X37" s="535">
        <v>21</v>
      </c>
      <c r="Y37" s="541">
        <v>21</v>
      </c>
      <c r="Z37" s="541"/>
      <c r="AA37" s="541"/>
    </row>
    <row r="38" spans="1:28" ht="12.75" outlineLevel="1">
      <c r="A38" s="118"/>
      <c r="B38" s="520"/>
      <c r="C38" s="118"/>
      <c r="D38" s="118"/>
      <c r="E38" s="118"/>
      <c r="F38" s="428"/>
      <c r="G38" s="869"/>
      <c r="H38" s="441">
        <v>589462</v>
      </c>
      <c r="I38" s="533" t="s">
        <v>279</v>
      </c>
      <c r="J38" s="524">
        <v>30</v>
      </c>
      <c r="K38" s="524">
        <v>100</v>
      </c>
      <c r="L38" s="524">
        <v>84</v>
      </c>
      <c r="M38" s="524">
        <v>18</v>
      </c>
      <c r="N38" s="524">
        <v>96</v>
      </c>
      <c r="O38" s="524">
        <v>18</v>
      </c>
      <c r="P38" s="524">
        <v>18</v>
      </c>
      <c r="Q38" s="535">
        <v>102</v>
      </c>
      <c r="R38" s="541">
        <v>18</v>
      </c>
      <c r="S38" s="536">
        <v>18</v>
      </c>
      <c r="T38" s="536">
        <v>102</v>
      </c>
      <c r="U38" s="536">
        <v>18</v>
      </c>
      <c r="V38" s="536">
        <v>18</v>
      </c>
      <c r="W38" s="524">
        <v>102</v>
      </c>
      <c r="X38" s="535">
        <v>18</v>
      </c>
      <c r="Y38" s="541">
        <v>18</v>
      </c>
      <c r="Z38" s="541"/>
      <c r="AA38" s="541"/>
    </row>
    <row r="39" spans="1:28" ht="12.75" outlineLevel="1">
      <c r="A39" s="118"/>
      <c r="B39" s="520"/>
      <c r="C39" s="118"/>
      <c r="D39" s="118"/>
      <c r="E39" s="118"/>
      <c r="F39" s="428"/>
      <c r="G39" s="869"/>
      <c r="H39" s="441">
        <v>589466</v>
      </c>
      <c r="I39" s="533" t="s">
        <v>281</v>
      </c>
      <c r="J39" s="524">
        <v>72</v>
      </c>
      <c r="K39" s="524">
        <v>150</v>
      </c>
      <c r="L39" s="524">
        <v>48</v>
      </c>
      <c r="M39" s="524">
        <v>30</v>
      </c>
      <c r="N39" s="524">
        <v>135</v>
      </c>
      <c r="O39" s="524">
        <v>72</v>
      </c>
      <c r="P39" s="524">
        <v>30</v>
      </c>
      <c r="Q39" s="535">
        <v>150</v>
      </c>
      <c r="R39" s="541">
        <v>72</v>
      </c>
      <c r="S39" s="536">
        <v>30</v>
      </c>
      <c r="T39" s="536">
        <v>150</v>
      </c>
      <c r="U39" s="536">
        <v>72</v>
      </c>
      <c r="V39" s="536">
        <v>30</v>
      </c>
      <c r="W39" s="524">
        <v>150</v>
      </c>
      <c r="X39" s="535">
        <v>72</v>
      </c>
      <c r="Y39" s="541">
        <v>30</v>
      </c>
      <c r="Z39" s="541"/>
      <c r="AA39" s="541"/>
    </row>
    <row r="40" spans="1:28" ht="12.75" outlineLevel="1">
      <c r="A40" s="118"/>
      <c r="B40" s="520"/>
      <c r="C40" s="118"/>
      <c r="D40" s="118"/>
      <c r="E40" s="118"/>
      <c r="F40" s="428"/>
      <c r="G40" s="869"/>
      <c r="H40" s="441">
        <v>116180</v>
      </c>
      <c r="I40" s="533" t="s">
        <v>282</v>
      </c>
      <c r="J40" s="524">
        <v>30</v>
      </c>
      <c r="K40" s="524">
        <v>400</v>
      </c>
      <c r="L40" s="524">
        <v>529</v>
      </c>
      <c r="M40" s="524">
        <v>51</v>
      </c>
      <c r="N40" s="524">
        <v>82</v>
      </c>
      <c r="O40" s="524">
        <v>400</v>
      </c>
      <c r="P40" s="524">
        <v>51</v>
      </c>
      <c r="Q40" s="535">
        <v>400</v>
      </c>
      <c r="R40" s="536">
        <v>400</v>
      </c>
      <c r="S40" s="536">
        <v>51</v>
      </c>
      <c r="T40" s="536">
        <v>400</v>
      </c>
      <c r="U40" s="536">
        <v>400</v>
      </c>
      <c r="V40" s="536">
        <v>51</v>
      </c>
      <c r="W40" s="524">
        <v>399</v>
      </c>
      <c r="X40" s="535">
        <v>81</v>
      </c>
      <c r="Y40" s="541">
        <v>51</v>
      </c>
      <c r="Z40" s="541"/>
      <c r="AA40" s="541"/>
    </row>
    <row r="41" spans="1:28" ht="12.75" outlineLevel="1">
      <c r="A41" s="118"/>
      <c r="B41" s="520"/>
      <c r="C41" s="118"/>
      <c r="D41" s="118"/>
      <c r="E41" s="118"/>
      <c r="F41" s="428"/>
      <c r="G41" s="869"/>
      <c r="H41" s="441">
        <v>695413</v>
      </c>
      <c r="I41" s="533" t="s">
        <v>283</v>
      </c>
      <c r="J41" s="524">
        <v>49</v>
      </c>
      <c r="K41" s="524">
        <v>80</v>
      </c>
      <c r="L41" s="524">
        <v>61</v>
      </c>
      <c r="M41" s="524">
        <v>0.1</v>
      </c>
      <c r="N41" s="524">
        <v>161</v>
      </c>
      <c r="O41" s="524">
        <v>50</v>
      </c>
      <c r="P41" s="524">
        <v>0.1</v>
      </c>
      <c r="Q41" s="535">
        <v>78</v>
      </c>
      <c r="R41" s="541">
        <v>50</v>
      </c>
      <c r="S41" s="541">
        <v>0.1</v>
      </c>
      <c r="T41" s="536">
        <v>78</v>
      </c>
      <c r="U41" s="536">
        <v>50</v>
      </c>
      <c r="V41" s="536">
        <v>0.1</v>
      </c>
      <c r="W41" s="524">
        <v>78</v>
      </c>
      <c r="X41" s="535">
        <v>18</v>
      </c>
      <c r="Y41" s="541">
        <v>0.1</v>
      </c>
      <c r="Z41" s="541"/>
      <c r="AA41" s="541"/>
    </row>
    <row r="42" spans="1:28" ht="12.75" outlineLevel="1">
      <c r="A42" s="118"/>
      <c r="B42" s="520"/>
      <c r="C42" s="118"/>
      <c r="D42" s="118"/>
      <c r="E42" s="118"/>
      <c r="F42" s="428"/>
      <c r="G42" s="869"/>
      <c r="H42" s="441">
        <v>699883</v>
      </c>
      <c r="I42" s="533" t="s">
        <v>284</v>
      </c>
      <c r="J42" s="524">
        <v>26</v>
      </c>
      <c r="K42" s="524">
        <v>80</v>
      </c>
      <c r="L42" s="524">
        <v>0.1</v>
      </c>
      <c r="M42" s="524">
        <v>0.1</v>
      </c>
      <c r="N42" s="524">
        <v>55</v>
      </c>
      <c r="O42" s="524">
        <v>12</v>
      </c>
      <c r="P42" s="524">
        <v>0.1</v>
      </c>
      <c r="Q42" s="535">
        <v>78</v>
      </c>
      <c r="R42" s="541">
        <v>12</v>
      </c>
      <c r="S42" s="536">
        <v>0.1</v>
      </c>
      <c r="T42" s="536">
        <v>78</v>
      </c>
      <c r="U42" s="536">
        <v>12</v>
      </c>
      <c r="V42" s="536">
        <v>0.1</v>
      </c>
      <c r="W42" s="524">
        <v>78</v>
      </c>
      <c r="X42" s="535">
        <v>12</v>
      </c>
      <c r="Y42" s="541">
        <v>0.1</v>
      </c>
      <c r="Z42" s="541"/>
      <c r="AA42" s="541"/>
    </row>
    <row r="43" spans="1:28" ht="12.75" outlineLevel="1">
      <c r="A43" s="118"/>
      <c r="B43" s="520"/>
      <c r="C43" s="118"/>
      <c r="D43" s="118"/>
      <c r="E43" s="118"/>
      <c r="F43" s="428"/>
      <c r="G43" s="869"/>
      <c r="H43" s="441">
        <v>645380</v>
      </c>
      <c r="I43" s="523" t="s">
        <v>285</v>
      </c>
      <c r="J43" s="524">
        <v>84</v>
      </c>
      <c r="K43" s="524">
        <v>467</v>
      </c>
      <c r="L43" s="524">
        <v>877</v>
      </c>
      <c r="M43" s="7">
        <v>800</v>
      </c>
      <c r="N43" s="524">
        <v>622</v>
      </c>
      <c r="O43" s="524">
        <v>704</v>
      </c>
      <c r="P43" s="524">
        <v>631</v>
      </c>
      <c r="Q43" s="527">
        <v>673</v>
      </c>
      <c r="R43" s="531">
        <v>713</v>
      </c>
      <c r="S43" s="528">
        <v>763</v>
      </c>
      <c r="T43" s="528">
        <v>771</v>
      </c>
      <c r="U43" s="528">
        <v>786</v>
      </c>
      <c r="V43" s="528">
        <v>810</v>
      </c>
      <c r="W43" s="528">
        <v>850</v>
      </c>
      <c r="X43" s="527">
        <v>859</v>
      </c>
      <c r="Y43" s="531">
        <v>876</v>
      </c>
      <c r="Z43" s="531">
        <v>902</v>
      </c>
      <c r="AA43" s="531">
        <v>911</v>
      </c>
    </row>
    <row r="44" spans="1:28" ht="12.75" outlineLevel="1">
      <c r="A44" s="118"/>
      <c r="B44" s="520"/>
      <c r="C44" s="118"/>
      <c r="D44" s="118"/>
      <c r="E44" s="118"/>
      <c r="F44" s="428"/>
      <c r="G44" s="869"/>
      <c r="H44" s="441">
        <v>578785</v>
      </c>
      <c r="I44" s="533" t="s">
        <v>288</v>
      </c>
      <c r="J44" s="536">
        <v>185</v>
      </c>
      <c r="K44" s="536">
        <v>350</v>
      </c>
      <c r="L44" s="536">
        <v>463</v>
      </c>
      <c r="M44" s="536">
        <v>200</v>
      </c>
      <c r="N44" s="536">
        <v>324</v>
      </c>
      <c r="O44" s="536">
        <v>200</v>
      </c>
      <c r="P44" s="536">
        <v>200</v>
      </c>
      <c r="Q44" s="535">
        <v>350</v>
      </c>
      <c r="R44" s="541">
        <v>200</v>
      </c>
      <c r="S44" s="536">
        <v>200</v>
      </c>
      <c r="T44" s="536">
        <v>350</v>
      </c>
      <c r="U44" s="536">
        <v>200</v>
      </c>
      <c r="V44" s="536">
        <v>200</v>
      </c>
      <c r="W44" s="536">
        <v>350</v>
      </c>
      <c r="X44" s="535">
        <v>200</v>
      </c>
      <c r="Y44" s="541">
        <v>200</v>
      </c>
      <c r="Z44" s="541"/>
      <c r="AA44" s="541"/>
    </row>
    <row r="45" spans="1:28" ht="12.75" outlineLevel="1">
      <c r="B45" s="426"/>
      <c r="F45" s="428"/>
      <c r="G45" s="870"/>
      <c r="H45" s="942" t="s">
        <v>38</v>
      </c>
      <c r="I45" s="860"/>
      <c r="J45" s="543">
        <f t="shared" ref="J45:AA45" si="5">SUM(J29:J44)</f>
        <v>6937</v>
      </c>
      <c r="K45" s="543">
        <f t="shared" si="5"/>
        <v>5325</v>
      </c>
      <c r="L45" s="543">
        <f t="shared" si="5"/>
        <v>4451.2</v>
      </c>
      <c r="M45" s="543">
        <f t="shared" si="5"/>
        <v>5394.3000000000011</v>
      </c>
      <c r="N45" s="543">
        <f t="shared" si="5"/>
        <v>8081</v>
      </c>
      <c r="O45" s="543">
        <f t="shared" si="5"/>
        <v>6512.1</v>
      </c>
      <c r="P45" s="543">
        <f t="shared" si="5"/>
        <v>6148.3000000000011</v>
      </c>
      <c r="Q45" s="544">
        <f t="shared" si="5"/>
        <v>9880</v>
      </c>
      <c r="R45" s="545">
        <f t="shared" si="5"/>
        <v>7407.1</v>
      </c>
      <c r="S45" s="543">
        <f t="shared" si="5"/>
        <v>7139.3000000000011</v>
      </c>
      <c r="T45" s="543">
        <f t="shared" si="5"/>
        <v>10076</v>
      </c>
      <c r="U45" s="543">
        <f t="shared" si="5"/>
        <v>7671.1</v>
      </c>
      <c r="V45" s="543">
        <f t="shared" si="5"/>
        <v>7398.3000000000011</v>
      </c>
      <c r="W45" s="543">
        <f t="shared" si="5"/>
        <v>10277</v>
      </c>
      <c r="X45" s="544">
        <f t="shared" si="5"/>
        <v>7350.1</v>
      </c>
      <c r="Y45" s="545">
        <f t="shared" si="5"/>
        <v>7412.3000000000011</v>
      </c>
      <c r="Z45" s="545">
        <f t="shared" si="5"/>
        <v>7503</v>
      </c>
      <c r="AA45" s="545">
        <f t="shared" si="5"/>
        <v>6363</v>
      </c>
    </row>
    <row r="46" spans="1:28" ht="12.75">
      <c r="B46" s="426"/>
      <c r="F46" s="428"/>
      <c r="G46" s="428"/>
      <c r="H46" s="428"/>
      <c r="I46" s="428"/>
      <c r="J46" s="428"/>
      <c r="K46" s="428"/>
      <c r="L46" s="428"/>
      <c r="M46" s="428"/>
      <c r="N46" s="428"/>
      <c r="O46" s="428"/>
      <c r="P46" s="428">
        <f t="shared" ref="P46:V46" si="6">P35*1.05</f>
        <v>3008.25</v>
      </c>
      <c r="Q46" s="428">
        <f t="shared" si="6"/>
        <v>3148.9500000000003</v>
      </c>
      <c r="R46" s="428">
        <f t="shared" si="6"/>
        <v>3243.4500000000003</v>
      </c>
      <c r="S46" s="428">
        <f t="shared" si="6"/>
        <v>3210.9</v>
      </c>
      <c r="T46" s="428">
        <f t="shared" si="6"/>
        <v>3274.9500000000003</v>
      </c>
      <c r="U46" s="428">
        <f t="shared" si="6"/>
        <v>3307.5</v>
      </c>
      <c r="V46" s="428">
        <f t="shared" si="6"/>
        <v>3341.1000000000004</v>
      </c>
      <c r="W46" s="428"/>
      <c r="X46" s="428"/>
    </row>
    <row r="47" spans="1:28" ht="12.75">
      <c r="B47" s="426"/>
      <c r="F47" s="428"/>
      <c r="G47" s="428"/>
      <c r="H47" s="428"/>
      <c r="I47" s="428"/>
      <c r="J47" s="428"/>
      <c r="K47" s="428"/>
      <c r="L47" s="428"/>
      <c r="M47" s="428"/>
      <c r="N47" s="76" t="s">
        <v>294</v>
      </c>
      <c r="O47" s="76" t="s">
        <v>42</v>
      </c>
      <c r="P47" s="76" t="s">
        <v>42</v>
      </c>
      <c r="Q47" s="77" t="s">
        <v>42</v>
      </c>
      <c r="R47" s="77" t="s">
        <v>42</v>
      </c>
      <c r="S47" s="77" t="s">
        <v>42</v>
      </c>
      <c r="T47" s="77" t="s">
        <v>42</v>
      </c>
      <c r="U47" s="77" t="s">
        <v>42</v>
      </c>
      <c r="V47" s="77" t="s">
        <v>42</v>
      </c>
      <c r="W47" s="76" t="s">
        <v>42</v>
      </c>
      <c r="X47" s="77" t="s">
        <v>42</v>
      </c>
      <c r="Y47" s="77" t="s">
        <v>42</v>
      </c>
      <c r="Z47" s="77" t="s">
        <v>42</v>
      </c>
      <c r="AA47" s="77" t="s">
        <v>42</v>
      </c>
    </row>
    <row r="48" spans="1:28" ht="12.75" outlineLevel="1">
      <c r="A48" s="106" t="s">
        <v>45</v>
      </c>
      <c r="B48" s="106" t="s">
        <v>46</v>
      </c>
      <c r="C48" s="106" t="s">
        <v>48</v>
      </c>
      <c r="D48" s="108" t="s">
        <v>49</v>
      </c>
      <c r="E48" s="107" t="s">
        <v>50</v>
      </c>
      <c r="F48" s="428"/>
      <c r="G48" s="943" t="s">
        <v>299</v>
      </c>
      <c r="H48" s="879"/>
      <c r="I48" s="860"/>
      <c r="J48" s="269" t="s">
        <v>17</v>
      </c>
      <c r="K48" s="269" t="s">
        <v>18</v>
      </c>
      <c r="L48" s="269" t="s">
        <v>19</v>
      </c>
      <c r="M48" s="269" t="s">
        <v>20</v>
      </c>
      <c r="N48" s="269" t="s">
        <v>21</v>
      </c>
      <c r="O48" s="269" t="s">
        <v>22</v>
      </c>
      <c r="P48" s="269" t="s">
        <v>23</v>
      </c>
      <c r="Q48" s="274" t="s">
        <v>107</v>
      </c>
      <c r="R48" s="253" t="s">
        <v>25</v>
      </c>
      <c r="S48" s="253" t="s">
        <v>26</v>
      </c>
      <c r="T48" s="253" t="s">
        <v>15</v>
      </c>
      <c r="U48" s="253" t="s">
        <v>16</v>
      </c>
      <c r="V48" s="253" t="s">
        <v>17</v>
      </c>
      <c r="W48" s="269" t="s">
        <v>18</v>
      </c>
      <c r="X48" s="274" t="s">
        <v>19</v>
      </c>
      <c r="Y48" s="253" t="s">
        <v>20</v>
      </c>
      <c r="Z48" s="253" t="s">
        <v>21</v>
      </c>
      <c r="AA48" s="253" t="s">
        <v>22</v>
      </c>
    </row>
    <row r="49" spans="1:27" ht="12.75" outlineLevel="1">
      <c r="A49" s="118">
        <v>820</v>
      </c>
      <c r="B49" s="520">
        <v>101</v>
      </c>
      <c r="C49" s="118">
        <v>24</v>
      </c>
      <c r="D49" s="118">
        <f t="shared" ref="D49:D64" si="7">A49+B49+C49</f>
        <v>945</v>
      </c>
      <c r="E49" s="256">
        <f t="shared" ref="E49:E50" si="8">D49-(Q29/31*9)</f>
        <v>897.67741935483866</v>
      </c>
      <c r="F49" s="570">
        <f t="shared" ref="F49:F64" si="9">E49-Q49</f>
        <v>0</v>
      </c>
      <c r="G49" s="944" t="s">
        <v>51</v>
      </c>
      <c r="H49" s="441">
        <v>117547</v>
      </c>
      <c r="I49" s="533" t="s">
        <v>261</v>
      </c>
      <c r="J49" s="553">
        <v>64</v>
      </c>
      <c r="K49" s="553">
        <v>0</v>
      </c>
      <c r="L49" s="553">
        <v>633</v>
      </c>
      <c r="M49" s="553">
        <v>538.90322580645159</v>
      </c>
      <c r="N49" s="553">
        <v>793</v>
      </c>
      <c r="O49" s="553">
        <v>900</v>
      </c>
      <c r="P49" s="553">
        <v>1061</v>
      </c>
      <c r="Q49" s="554">
        <v>897.67741935483866</v>
      </c>
      <c r="R49" s="555">
        <f t="shared" ref="R49:Y49" si="10">Q49+R7-R29</f>
        <v>1125.6774193548385</v>
      </c>
      <c r="S49" s="555">
        <f t="shared" si="10"/>
        <v>987.67741935483855</v>
      </c>
      <c r="T49" s="555">
        <f t="shared" si="10"/>
        <v>858.67741935483855</v>
      </c>
      <c r="U49" s="555">
        <f t="shared" si="10"/>
        <v>799.67741935483855</v>
      </c>
      <c r="V49" s="555">
        <f t="shared" si="10"/>
        <v>672.67741935483855</v>
      </c>
      <c r="W49" s="553">
        <f t="shared" si="10"/>
        <v>544.67741935483855</v>
      </c>
      <c r="X49" s="554">
        <f t="shared" si="10"/>
        <v>414.67741935483855</v>
      </c>
      <c r="Y49" s="571">
        <f t="shared" si="10"/>
        <v>283.67741935483855</v>
      </c>
      <c r="Z49" s="572"/>
      <c r="AA49" s="572"/>
    </row>
    <row r="50" spans="1:27" ht="12.75" outlineLevel="1">
      <c r="A50" s="118">
        <v>3700</v>
      </c>
      <c r="B50" s="520">
        <v>0</v>
      </c>
      <c r="C50" s="118">
        <v>0</v>
      </c>
      <c r="D50" s="118">
        <f t="shared" si="7"/>
        <v>3700</v>
      </c>
      <c r="E50" s="256">
        <f t="shared" si="8"/>
        <v>3278.1612903225805</v>
      </c>
      <c r="F50" s="570">
        <f t="shared" si="9"/>
        <v>0</v>
      </c>
      <c r="G50" s="869"/>
      <c r="H50" s="441">
        <v>552897</v>
      </c>
      <c r="I50" s="533" t="s">
        <v>269</v>
      </c>
      <c r="J50" s="553">
        <v>6566</v>
      </c>
      <c r="K50" s="553">
        <v>6731</v>
      </c>
      <c r="L50" s="553">
        <v>6712</v>
      </c>
      <c r="M50" s="553">
        <v>6280.9677419354839</v>
      </c>
      <c r="N50" s="553">
        <v>5522</v>
      </c>
      <c r="O50" s="553">
        <v>5124</v>
      </c>
      <c r="P50" s="553">
        <v>4663</v>
      </c>
      <c r="Q50" s="554">
        <v>3278.1612903225805</v>
      </c>
      <c r="R50" s="555">
        <f t="shared" ref="R50:Y50" si="11">Q50+R8-R30</f>
        <v>4478.1612903225805</v>
      </c>
      <c r="S50" s="555">
        <f t="shared" si="11"/>
        <v>4038.1612903225805</v>
      </c>
      <c r="T50" s="555">
        <f t="shared" si="11"/>
        <v>4085.1612903225805</v>
      </c>
      <c r="U50" s="555">
        <f t="shared" si="11"/>
        <v>3492.1612903225805</v>
      </c>
      <c r="V50" s="555">
        <f t="shared" si="11"/>
        <v>2899.1612903225805</v>
      </c>
      <c r="W50" s="553">
        <f t="shared" si="11"/>
        <v>3546.1612903225805</v>
      </c>
      <c r="X50" s="554">
        <f t="shared" si="11"/>
        <v>2953.1612903225805</v>
      </c>
      <c r="Y50" s="571">
        <f t="shared" si="11"/>
        <v>2360.1612903225805</v>
      </c>
      <c r="Z50" s="572"/>
      <c r="AA50" s="572"/>
    </row>
    <row r="51" spans="1:27" ht="12.75" outlineLevel="1">
      <c r="A51" s="118">
        <v>349</v>
      </c>
      <c r="B51" s="520">
        <v>0</v>
      </c>
      <c r="C51" s="118">
        <v>0</v>
      </c>
      <c r="D51" s="118">
        <f t="shared" si="7"/>
        <v>349</v>
      </c>
      <c r="E51" s="575">
        <v>349</v>
      </c>
      <c r="F51" s="570">
        <f t="shared" si="9"/>
        <v>0</v>
      </c>
      <c r="G51" s="869"/>
      <c r="H51" s="441">
        <v>117771</v>
      </c>
      <c r="I51" s="533" t="s">
        <v>270</v>
      </c>
      <c r="J51" s="553">
        <v>282</v>
      </c>
      <c r="K51" s="553">
        <v>165</v>
      </c>
      <c r="L51" s="553">
        <v>162</v>
      </c>
      <c r="M51" s="553">
        <v>146.25806451612902</v>
      </c>
      <c r="N51" s="553">
        <v>282</v>
      </c>
      <c r="O51" s="553">
        <v>480</v>
      </c>
      <c r="P51" s="553">
        <v>471</v>
      </c>
      <c r="Q51" s="554">
        <v>349</v>
      </c>
      <c r="R51" s="555">
        <f t="shared" ref="R51:Y51" si="12">Q51+R9-R31</f>
        <v>469</v>
      </c>
      <c r="S51" s="555">
        <f t="shared" si="12"/>
        <v>439</v>
      </c>
      <c r="T51" s="555">
        <f t="shared" si="12"/>
        <v>349</v>
      </c>
      <c r="U51" s="555">
        <f t="shared" si="12"/>
        <v>319</v>
      </c>
      <c r="V51" s="555">
        <f t="shared" si="12"/>
        <v>289</v>
      </c>
      <c r="W51" s="553">
        <f t="shared" si="12"/>
        <v>289</v>
      </c>
      <c r="X51" s="554">
        <f t="shared" si="12"/>
        <v>259</v>
      </c>
      <c r="Y51" s="571">
        <f t="shared" si="12"/>
        <v>229</v>
      </c>
      <c r="Z51" s="572"/>
      <c r="AA51" s="572"/>
    </row>
    <row r="52" spans="1:27" ht="12.75" outlineLevel="1">
      <c r="A52" s="118">
        <v>243</v>
      </c>
      <c r="B52" s="520">
        <v>0</v>
      </c>
      <c r="C52" s="118">
        <v>0</v>
      </c>
      <c r="D52" s="118">
        <f t="shared" si="7"/>
        <v>243</v>
      </c>
      <c r="E52" s="575">
        <v>243</v>
      </c>
      <c r="F52" s="570">
        <f t="shared" si="9"/>
        <v>0</v>
      </c>
      <c r="G52" s="869"/>
      <c r="H52" s="441">
        <v>646546</v>
      </c>
      <c r="I52" s="533" t="s">
        <v>271</v>
      </c>
      <c r="J52" s="553">
        <v>84</v>
      </c>
      <c r="K52" s="553">
        <v>67</v>
      </c>
      <c r="L52" s="553">
        <v>67</v>
      </c>
      <c r="M52" s="553">
        <v>37.935483870967744</v>
      </c>
      <c r="N52" s="553">
        <v>149</v>
      </c>
      <c r="O52" s="553">
        <v>308</v>
      </c>
      <c r="P52" s="553">
        <v>291</v>
      </c>
      <c r="Q52" s="554">
        <v>243</v>
      </c>
      <c r="R52" s="555">
        <f t="shared" ref="R52:Y52" si="13">Q52+R10-R32</f>
        <v>204</v>
      </c>
      <c r="S52" s="555">
        <f t="shared" si="13"/>
        <v>165</v>
      </c>
      <c r="T52" s="555">
        <f t="shared" si="13"/>
        <v>126</v>
      </c>
      <c r="U52" s="555">
        <f t="shared" si="13"/>
        <v>138</v>
      </c>
      <c r="V52" s="555">
        <f t="shared" si="13"/>
        <v>105</v>
      </c>
      <c r="W52" s="553">
        <f t="shared" si="13"/>
        <v>111</v>
      </c>
      <c r="X52" s="554">
        <f t="shared" si="13"/>
        <v>108</v>
      </c>
      <c r="Y52" s="571">
        <f t="shared" si="13"/>
        <v>69</v>
      </c>
      <c r="Z52" s="572"/>
      <c r="AA52" s="572"/>
    </row>
    <row r="53" spans="1:27" ht="12.75" outlineLevel="1">
      <c r="A53" s="118">
        <v>2</v>
      </c>
      <c r="B53" s="520">
        <v>0</v>
      </c>
      <c r="C53" s="118">
        <v>0</v>
      </c>
      <c r="D53" s="118">
        <f t="shared" si="7"/>
        <v>2</v>
      </c>
      <c r="E53" s="575">
        <v>2</v>
      </c>
      <c r="F53" s="570">
        <f t="shared" si="9"/>
        <v>0</v>
      </c>
      <c r="G53" s="869"/>
      <c r="H53" s="441">
        <v>646567</v>
      </c>
      <c r="I53" s="533" t="s">
        <v>272</v>
      </c>
      <c r="J53" s="553">
        <v>111</v>
      </c>
      <c r="K53" s="553">
        <v>50</v>
      </c>
      <c r="L53" s="553">
        <v>119</v>
      </c>
      <c r="M53" s="553">
        <v>118.97419354838709</v>
      </c>
      <c r="N53" s="553">
        <v>85</v>
      </c>
      <c r="O53" s="553">
        <v>85</v>
      </c>
      <c r="P53" s="553">
        <v>63</v>
      </c>
      <c r="Q53" s="554">
        <v>2</v>
      </c>
      <c r="R53" s="555">
        <f t="shared" ref="R53:Y53" si="14">Q53+R11-R33</f>
        <v>61.9</v>
      </c>
      <c r="S53" s="555">
        <f t="shared" si="14"/>
        <v>289.79999999999995</v>
      </c>
      <c r="T53" s="555">
        <f t="shared" si="14"/>
        <v>220.79999999999995</v>
      </c>
      <c r="U53" s="555">
        <f t="shared" si="14"/>
        <v>220.69999999999996</v>
      </c>
      <c r="V53" s="555">
        <f t="shared" si="14"/>
        <v>220.59999999999997</v>
      </c>
      <c r="W53" s="553">
        <f t="shared" si="14"/>
        <v>151.59999999999997</v>
      </c>
      <c r="X53" s="554">
        <f t="shared" si="14"/>
        <v>151.49999999999997</v>
      </c>
      <c r="Y53" s="571">
        <f t="shared" si="14"/>
        <v>151.39999999999998</v>
      </c>
      <c r="Z53" s="572"/>
      <c r="AA53" s="572"/>
    </row>
    <row r="54" spans="1:27" ht="12.75" outlineLevel="1">
      <c r="A54" s="118">
        <v>203</v>
      </c>
      <c r="B54" s="520">
        <v>0</v>
      </c>
      <c r="C54" s="118">
        <v>0</v>
      </c>
      <c r="D54" s="118">
        <f t="shared" si="7"/>
        <v>203</v>
      </c>
      <c r="E54" s="575">
        <v>203</v>
      </c>
      <c r="F54" s="570">
        <f t="shared" si="9"/>
        <v>0</v>
      </c>
      <c r="G54" s="869"/>
      <c r="H54" s="441">
        <v>691217</v>
      </c>
      <c r="I54" s="533" t="s">
        <v>273</v>
      </c>
      <c r="J54" s="553">
        <v>12</v>
      </c>
      <c r="K54" s="553">
        <v>0</v>
      </c>
      <c r="L54" s="553">
        <v>1</v>
      </c>
      <c r="M54" s="553">
        <v>16.580645161290324</v>
      </c>
      <c r="N54" s="553">
        <v>171</v>
      </c>
      <c r="O54" s="553">
        <v>242</v>
      </c>
      <c r="P54" s="553">
        <v>217</v>
      </c>
      <c r="Q54" s="554">
        <v>203</v>
      </c>
      <c r="R54" s="555">
        <f t="shared" ref="R54:Y54" si="15">Q54+R12-R34</f>
        <v>168</v>
      </c>
      <c r="S54" s="555">
        <f t="shared" si="15"/>
        <v>181</v>
      </c>
      <c r="T54" s="555">
        <f t="shared" si="15"/>
        <v>146</v>
      </c>
      <c r="U54" s="555">
        <f t="shared" si="15"/>
        <v>147</v>
      </c>
      <c r="V54" s="555">
        <f t="shared" si="15"/>
        <v>112</v>
      </c>
      <c r="W54" s="553">
        <f t="shared" si="15"/>
        <v>125</v>
      </c>
      <c r="X54" s="554">
        <f t="shared" si="15"/>
        <v>90</v>
      </c>
      <c r="Y54" s="571">
        <f t="shared" si="15"/>
        <v>55</v>
      </c>
      <c r="Z54" s="572"/>
      <c r="AA54" s="572"/>
    </row>
    <row r="55" spans="1:27" ht="12.75" outlineLevel="1">
      <c r="A55" s="118">
        <v>11569</v>
      </c>
      <c r="B55" s="520">
        <v>445</v>
      </c>
      <c r="C55" s="118">
        <v>187</v>
      </c>
      <c r="D55" s="118">
        <f t="shared" si="7"/>
        <v>12201</v>
      </c>
      <c r="E55" s="575">
        <f t="shared" ref="E55:E56" si="16">D55-(Q35/31*9)</f>
        <v>11330.322580645161</v>
      </c>
      <c r="F55" s="570">
        <f t="shared" si="9"/>
        <v>0</v>
      </c>
      <c r="G55" s="869"/>
      <c r="H55" s="441">
        <v>611174</v>
      </c>
      <c r="I55" s="533" t="s">
        <v>274</v>
      </c>
      <c r="J55" s="553">
        <v>0</v>
      </c>
      <c r="K55" s="553">
        <v>1</v>
      </c>
      <c r="L55" s="553">
        <v>0</v>
      </c>
      <c r="M55" s="553">
        <v>9714.2580645161288</v>
      </c>
      <c r="N55" s="553">
        <v>9554</v>
      </c>
      <c r="O55" s="553">
        <v>5224</v>
      </c>
      <c r="P55" s="553">
        <v>2323</v>
      </c>
      <c r="Q55" s="554">
        <v>11330.322580645161</v>
      </c>
      <c r="R55" s="555">
        <f t="shared" ref="R55:Y55" si="17">Q55+R13-R35</f>
        <v>8241.322580645161</v>
      </c>
      <c r="S55" s="555">
        <f t="shared" si="17"/>
        <v>17375.322580645159</v>
      </c>
      <c r="T55" s="555">
        <f t="shared" si="17"/>
        <v>14256.322580645159</v>
      </c>
      <c r="U55" s="555">
        <f t="shared" si="17"/>
        <v>11106.322580645159</v>
      </c>
      <c r="V55" s="555">
        <f t="shared" si="17"/>
        <v>7924.3225806451592</v>
      </c>
      <c r="W55" s="553">
        <f t="shared" si="17"/>
        <v>28710.322580645159</v>
      </c>
      <c r="X55" s="554">
        <f t="shared" si="17"/>
        <v>25528.322580645159</v>
      </c>
      <c r="Y55" s="571">
        <f t="shared" si="17"/>
        <v>22283.322580645159</v>
      </c>
      <c r="Z55" s="572"/>
      <c r="AA55" s="572"/>
    </row>
    <row r="56" spans="1:27" ht="12.75" outlineLevel="1">
      <c r="A56" s="118">
        <v>4438</v>
      </c>
      <c r="B56" s="520">
        <v>520</v>
      </c>
      <c r="C56" s="118">
        <v>139</v>
      </c>
      <c r="D56" s="118">
        <f t="shared" si="7"/>
        <v>5097</v>
      </c>
      <c r="E56" s="575">
        <f t="shared" si="16"/>
        <v>4202.5161290322576</v>
      </c>
      <c r="F56" s="570">
        <f t="shared" si="9"/>
        <v>0</v>
      </c>
      <c r="G56" s="869"/>
      <c r="H56" s="441">
        <v>701775</v>
      </c>
      <c r="I56" s="533" t="s">
        <v>275</v>
      </c>
      <c r="J56" s="553">
        <v>4395</v>
      </c>
      <c r="K56" s="553">
        <v>2383</v>
      </c>
      <c r="L56" s="553">
        <v>1702</v>
      </c>
      <c r="M56" s="553">
        <v>635.77419354838707</v>
      </c>
      <c r="N56" s="553">
        <v>8127</v>
      </c>
      <c r="O56" s="553">
        <v>8624</v>
      </c>
      <c r="P56" s="553">
        <v>7167</v>
      </c>
      <c r="Q56" s="554">
        <v>4202.5161290322576</v>
      </c>
      <c r="R56" s="555">
        <f t="shared" ref="R56:Y56" si="18">Q56+R14-R36</f>
        <v>2199.5161290322576</v>
      </c>
      <c r="S56" s="555">
        <f t="shared" si="18"/>
        <v>4644.5161290322576</v>
      </c>
      <c r="T56" s="555">
        <f t="shared" si="18"/>
        <v>1551.5161290322576</v>
      </c>
      <c r="U56" s="555">
        <f t="shared" si="18"/>
        <v>-582.4838709677424</v>
      </c>
      <c r="V56" s="555">
        <f t="shared" si="18"/>
        <v>-2844.4838709677424</v>
      </c>
      <c r="W56" s="553">
        <f t="shared" si="18"/>
        <v>-4526.4838709677424</v>
      </c>
      <c r="X56" s="554">
        <f t="shared" si="18"/>
        <v>-1666.4838709677424</v>
      </c>
      <c r="Y56" s="571">
        <f t="shared" si="18"/>
        <v>4290.5161290322576</v>
      </c>
      <c r="Z56" s="572"/>
      <c r="AA56" s="572"/>
    </row>
    <row r="57" spans="1:27" ht="12.75" outlineLevel="1">
      <c r="A57" s="118">
        <v>116</v>
      </c>
      <c r="B57" s="520">
        <v>0</v>
      </c>
      <c r="C57" s="118">
        <v>0</v>
      </c>
      <c r="D57" s="118">
        <f t="shared" si="7"/>
        <v>116</v>
      </c>
      <c r="E57" s="575">
        <v>116</v>
      </c>
      <c r="F57" s="570">
        <f t="shared" si="9"/>
        <v>0</v>
      </c>
      <c r="G57" s="869"/>
      <c r="H57" s="441">
        <v>646548</v>
      </c>
      <c r="I57" s="533" t="s">
        <v>277</v>
      </c>
      <c r="J57" s="553">
        <v>117</v>
      </c>
      <c r="K57" s="553">
        <v>18</v>
      </c>
      <c r="L57" s="553">
        <v>177</v>
      </c>
      <c r="M57" s="553">
        <v>165.58064516129033</v>
      </c>
      <c r="N57" s="553">
        <v>78</v>
      </c>
      <c r="O57" s="553">
        <v>231</v>
      </c>
      <c r="P57" s="553">
        <v>221</v>
      </c>
      <c r="Q57" s="554">
        <v>116</v>
      </c>
      <c r="R57" s="555">
        <f t="shared" ref="R57:Y57" si="19">Q57+R15-R37</f>
        <v>140</v>
      </c>
      <c r="S57" s="555">
        <f t="shared" si="19"/>
        <v>119</v>
      </c>
      <c r="T57" s="555">
        <f t="shared" si="19"/>
        <v>191</v>
      </c>
      <c r="U57" s="555">
        <f t="shared" si="19"/>
        <v>170</v>
      </c>
      <c r="V57" s="555">
        <f t="shared" si="19"/>
        <v>149</v>
      </c>
      <c r="W57" s="553">
        <f t="shared" si="19"/>
        <v>194</v>
      </c>
      <c r="X57" s="554">
        <f t="shared" si="19"/>
        <v>173</v>
      </c>
      <c r="Y57" s="571">
        <f t="shared" si="19"/>
        <v>152</v>
      </c>
      <c r="Z57" s="572"/>
      <c r="AA57" s="572"/>
    </row>
    <row r="58" spans="1:27" ht="12.75" outlineLevel="1">
      <c r="A58" s="118">
        <v>237</v>
      </c>
      <c r="B58" s="520">
        <v>0</v>
      </c>
      <c r="C58" s="118">
        <v>0</v>
      </c>
      <c r="D58" s="118">
        <f t="shared" si="7"/>
        <v>237</v>
      </c>
      <c r="E58" s="575">
        <v>237</v>
      </c>
      <c r="F58" s="570">
        <f t="shared" si="9"/>
        <v>0</v>
      </c>
      <c r="G58" s="869"/>
      <c r="H58" s="441">
        <v>589462</v>
      </c>
      <c r="I58" s="533" t="s">
        <v>279</v>
      </c>
      <c r="J58" s="553">
        <v>150</v>
      </c>
      <c r="K58" s="553">
        <v>87</v>
      </c>
      <c r="L58" s="553">
        <v>249</v>
      </c>
      <c r="M58" s="553">
        <v>244.35483870967741</v>
      </c>
      <c r="N58" s="553">
        <v>213</v>
      </c>
      <c r="O58" s="553">
        <v>345</v>
      </c>
      <c r="P58" s="553">
        <v>345</v>
      </c>
      <c r="Q58" s="554">
        <v>237</v>
      </c>
      <c r="R58" s="555">
        <f t="shared" ref="R58:Y58" si="20">Q58+R16-R38</f>
        <v>219</v>
      </c>
      <c r="S58" s="555">
        <f t="shared" si="20"/>
        <v>369</v>
      </c>
      <c r="T58" s="555">
        <f t="shared" si="20"/>
        <v>267</v>
      </c>
      <c r="U58" s="555">
        <f t="shared" si="20"/>
        <v>249</v>
      </c>
      <c r="V58" s="555">
        <f t="shared" si="20"/>
        <v>291</v>
      </c>
      <c r="W58" s="553">
        <f t="shared" si="20"/>
        <v>249</v>
      </c>
      <c r="X58" s="554">
        <f t="shared" si="20"/>
        <v>231</v>
      </c>
      <c r="Y58" s="571">
        <f t="shared" si="20"/>
        <v>213</v>
      </c>
      <c r="Z58" s="572"/>
      <c r="AA58" s="572"/>
    </row>
    <row r="59" spans="1:27" ht="12.75" outlineLevel="1">
      <c r="A59" s="573">
        <v>11</v>
      </c>
      <c r="B59" s="597">
        <v>0</v>
      </c>
      <c r="C59" s="573">
        <v>0</v>
      </c>
      <c r="D59" s="573">
        <f t="shared" si="7"/>
        <v>11</v>
      </c>
      <c r="E59" s="575">
        <v>11</v>
      </c>
      <c r="F59" s="570">
        <f t="shared" si="9"/>
        <v>0</v>
      </c>
      <c r="G59" s="869"/>
      <c r="H59" s="441">
        <v>589466</v>
      </c>
      <c r="I59" s="533" t="s">
        <v>281</v>
      </c>
      <c r="J59" s="553">
        <v>186</v>
      </c>
      <c r="K59" s="553">
        <v>12</v>
      </c>
      <c r="L59" s="553">
        <v>137</v>
      </c>
      <c r="M59" s="553">
        <v>129.25806451612902</v>
      </c>
      <c r="N59" s="553">
        <v>41</v>
      </c>
      <c r="O59" s="553">
        <v>200</v>
      </c>
      <c r="P59" s="553">
        <v>200</v>
      </c>
      <c r="Q59" s="554">
        <v>11</v>
      </c>
      <c r="R59" s="555">
        <f t="shared" ref="R59:Y59" si="21">Q59+R17-R39</f>
        <v>281</v>
      </c>
      <c r="S59" s="555">
        <f t="shared" si="21"/>
        <v>281</v>
      </c>
      <c r="T59" s="555">
        <f t="shared" si="21"/>
        <v>131</v>
      </c>
      <c r="U59" s="555">
        <f t="shared" si="21"/>
        <v>59</v>
      </c>
      <c r="V59" s="555">
        <f t="shared" si="21"/>
        <v>29</v>
      </c>
      <c r="W59" s="553">
        <f t="shared" si="21"/>
        <v>299</v>
      </c>
      <c r="X59" s="554">
        <f t="shared" si="21"/>
        <v>227</v>
      </c>
      <c r="Y59" s="571">
        <f t="shared" si="21"/>
        <v>197</v>
      </c>
      <c r="Z59" s="572"/>
      <c r="AA59" s="572"/>
    </row>
    <row r="60" spans="1:27" ht="12.75" outlineLevel="1">
      <c r="A60" s="573">
        <v>16</v>
      </c>
      <c r="B60" s="597">
        <v>0</v>
      </c>
      <c r="C60" s="573">
        <v>0</v>
      </c>
      <c r="D60" s="573">
        <f t="shared" si="7"/>
        <v>16</v>
      </c>
      <c r="E60" s="575">
        <v>16</v>
      </c>
      <c r="F60" s="570">
        <f t="shared" si="9"/>
        <v>0</v>
      </c>
      <c r="G60" s="869"/>
      <c r="H60" s="441">
        <v>116180</v>
      </c>
      <c r="I60" s="533" t="s">
        <v>282</v>
      </c>
      <c r="J60" s="553">
        <v>108</v>
      </c>
      <c r="K60" s="553">
        <v>10</v>
      </c>
      <c r="L60" s="553">
        <v>12</v>
      </c>
      <c r="M60" s="553">
        <v>22</v>
      </c>
      <c r="N60" s="553">
        <v>39</v>
      </c>
      <c r="O60" s="553">
        <v>400</v>
      </c>
      <c r="P60" s="553">
        <v>399</v>
      </c>
      <c r="Q60" s="554">
        <v>16</v>
      </c>
      <c r="R60" s="555">
        <f t="shared" ref="R60:Y60" si="22">Q60+R18-R40</f>
        <v>216</v>
      </c>
      <c r="S60" s="555">
        <f t="shared" si="22"/>
        <v>165</v>
      </c>
      <c r="T60" s="555">
        <f t="shared" si="22"/>
        <v>1205</v>
      </c>
      <c r="U60" s="555">
        <f t="shared" si="22"/>
        <v>1135</v>
      </c>
      <c r="V60" s="555">
        <f t="shared" si="22"/>
        <v>1084</v>
      </c>
      <c r="W60" s="553">
        <f t="shared" si="22"/>
        <v>1075</v>
      </c>
      <c r="X60" s="554">
        <f t="shared" si="22"/>
        <v>994</v>
      </c>
      <c r="Y60" s="571">
        <f t="shared" si="22"/>
        <v>943</v>
      </c>
      <c r="Z60" s="572"/>
      <c r="AA60" s="572"/>
    </row>
    <row r="61" spans="1:27" ht="12.75" outlineLevel="1">
      <c r="A61" s="118">
        <v>53</v>
      </c>
      <c r="B61" s="520">
        <v>0</v>
      </c>
      <c r="C61" s="118">
        <v>0</v>
      </c>
      <c r="D61" s="118">
        <f t="shared" si="7"/>
        <v>53</v>
      </c>
      <c r="E61" s="575">
        <v>53</v>
      </c>
      <c r="F61" s="570">
        <f t="shared" si="9"/>
        <v>0</v>
      </c>
      <c r="G61" s="869"/>
      <c r="H61" s="441">
        <v>695413</v>
      </c>
      <c r="I61" s="533" t="s">
        <v>283</v>
      </c>
      <c r="J61" s="553">
        <v>102</v>
      </c>
      <c r="K61" s="553">
        <v>10</v>
      </c>
      <c r="L61" s="553">
        <v>190</v>
      </c>
      <c r="M61" s="553">
        <v>164.97419354838709</v>
      </c>
      <c r="N61" s="553">
        <v>123</v>
      </c>
      <c r="O61" s="553">
        <v>213</v>
      </c>
      <c r="P61" s="553">
        <v>197</v>
      </c>
      <c r="Q61" s="554">
        <v>53</v>
      </c>
      <c r="R61" s="555">
        <f t="shared" ref="R61:Y61" si="23">Q61+R19-R41</f>
        <v>75</v>
      </c>
      <c r="S61" s="555">
        <f t="shared" si="23"/>
        <v>74.900000000000006</v>
      </c>
      <c r="T61" s="555">
        <f t="shared" si="23"/>
        <v>44.900000000000006</v>
      </c>
      <c r="U61" s="555">
        <f t="shared" si="23"/>
        <v>90.9</v>
      </c>
      <c r="V61" s="555">
        <f t="shared" si="23"/>
        <v>90.800000000000011</v>
      </c>
      <c r="W61" s="553">
        <f t="shared" si="23"/>
        <v>108.80000000000001</v>
      </c>
      <c r="X61" s="554">
        <f t="shared" si="23"/>
        <v>90.800000000000011</v>
      </c>
      <c r="Y61" s="571">
        <f t="shared" si="23"/>
        <v>90.700000000000017</v>
      </c>
      <c r="Z61" s="572"/>
      <c r="AA61" s="572"/>
    </row>
    <row r="62" spans="1:27" ht="12.75" outlineLevel="1">
      <c r="A62" s="118">
        <v>219</v>
      </c>
      <c r="B62" s="520">
        <v>0</v>
      </c>
      <c r="C62" s="118">
        <v>0</v>
      </c>
      <c r="D62" s="118">
        <f t="shared" si="7"/>
        <v>219</v>
      </c>
      <c r="E62" s="575">
        <v>219</v>
      </c>
      <c r="F62" s="570">
        <f t="shared" si="9"/>
        <v>0</v>
      </c>
      <c r="G62" s="869"/>
      <c r="H62" s="441">
        <v>699883</v>
      </c>
      <c r="I62" s="533" t="s">
        <v>284</v>
      </c>
      <c r="J62" s="553">
        <v>96</v>
      </c>
      <c r="K62" s="553">
        <v>20</v>
      </c>
      <c r="L62" s="553">
        <v>152</v>
      </c>
      <c r="M62" s="553">
        <v>152.97419354838709</v>
      </c>
      <c r="N62" s="553">
        <v>187</v>
      </c>
      <c r="O62" s="553">
        <v>331</v>
      </c>
      <c r="P62" s="553">
        <v>331</v>
      </c>
      <c r="Q62" s="554">
        <v>219</v>
      </c>
      <c r="R62" s="555">
        <f t="shared" ref="R62:Y62" si="24">Q62+R20-R42</f>
        <v>279</v>
      </c>
      <c r="S62" s="555">
        <f t="shared" si="24"/>
        <v>278.89999999999998</v>
      </c>
      <c r="T62" s="555">
        <f t="shared" si="24"/>
        <v>200.89999999999998</v>
      </c>
      <c r="U62" s="555">
        <f t="shared" si="24"/>
        <v>188.89999999999998</v>
      </c>
      <c r="V62" s="555">
        <f t="shared" si="24"/>
        <v>188.79999999999998</v>
      </c>
      <c r="W62" s="553">
        <f t="shared" si="24"/>
        <v>146.79999999999998</v>
      </c>
      <c r="X62" s="554">
        <f t="shared" si="24"/>
        <v>134.79999999999998</v>
      </c>
      <c r="Y62" s="571">
        <f t="shared" si="24"/>
        <v>134.69999999999999</v>
      </c>
      <c r="Z62" s="572"/>
      <c r="AA62" s="572"/>
    </row>
    <row r="63" spans="1:27" ht="12.75" outlineLevel="1">
      <c r="A63" s="118">
        <v>5118</v>
      </c>
      <c r="B63" s="520">
        <v>283</v>
      </c>
      <c r="C63" s="118">
        <v>40</v>
      </c>
      <c r="D63" s="118">
        <f t="shared" si="7"/>
        <v>5441</v>
      </c>
      <c r="E63" s="575">
        <f>D63-(Q43/31*9)</f>
        <v>5245.6129032258068</v>
      </c>
      <c r="F63" s="570">
        <f t="shared" si="9"/>
        <v>0</v>
      </c>
      <c r="G63" s="869"/>
      <c r="H63" s="441">
        <v>645380</v>
      </c>
      <c r="I63" s="533" t="s">
        <v>285</v>
      </c>
      <c r="J63" s="553">
        <v>77</v>
      </c>
      <c r="K63" s="553">
        <v>4</v>
      </c>
      <c r="L63" s="553">
        <v>2859</v>
      </c>
      <c r="M63" s="553">
        <v>2507.9677419354839</v>
      </c>
      <c r="N63" s="553">
        <v>4581</v>
      </c>
      <c r="O63" s="553">
        <v>6308</v>
      </c>
      <c r="P63" s="553">
        <v>5672</v>
      </c>
      <c r="Q63" s="554">
        <v>5245.6129032258068</v>
      </c>
      <c r="R63" s="555">
        <f t="shared" ref="R63:Y63" si="25">Q63+R21-R43</f>
        <v>6332.6129032258068</v>
      </c>
      <c r="S63" s="555">
        <f t="shared" si="25"/>
        <v>5569.6129032258068</v>
      </c>
      <c r="T63" s="555">
        <f t="shared" si="25"/>
        <v>5638.6129032258068</v>
      </c>
      <c r="U63" s="555">
        <f t="shared" si="25"/>
        <v>4852.6129032258068</v>
      </c>
      <c r="V63" s="555">
        <f t="shared" si="25"/>
        <v>5602.6129032258068</v>
      </c>
      <c r="W63" s="553">
        <f t="shared" si="25"/>
        <v>5232.6129032258068</v>
      </c>
      <c r="X63" s="554">
        <f t="shared" si="25"/>
        <v>6173.6129032258068</v>
      </c>
      <c r="Y63" s="571">
        <f t="shared" si="25"/>
        <v>5297.6129032258068</v>
      </c>
      <c r="Z63" s="572"/>
      <c r="AA63" s="572"/>
    </row>
    <row r="64" spans="1:27" ht="12.75" outlineLevel="1">
      <c r="A64" s="118">
        <v>534</v>
      </c>
      <c r="B64" s="520">
        <v>0</v>
      </c>
      <c r="C64" s="118">
        <v>0</v>
      </c>
      <c r="D64" s="118">
        <f t="shared" si="7"/>
        <v>534</v>
      </c>
      <c r="E64" s="575">
        <v>534</v>
      </c>
      <c r="F64" s="570">
        <f t="shared" si="9"/>
        <v>0</v>
      </c>
      <c r="G64" s="869"/>
      <c r="H64" s="441">
        <v>578785</v>
      </c>
      <c r="I64" s="533" t="s">
        <v>288</v>
      </c>
      <c r="J64" s="553">
        <v>0</v>
      </c>
      <c r="K64" s="553">
        <v>0</v>
      </c>
      <c r="L64" s="553">
        <v>698</v>
      </c>
      <c r="M64" s="553">
        <v>629.38709677419354</v>
      </c>
      <c r="N64" s="553">
        <v>323</v>
      </c>
      <c r="O64" s="553">
        <v>559</v>
      </c>
      <c r="P64" s="553">
        <v>788</v>
      </c>
      <c r="Q64" s="554">
        <v>534</v>
      </c>
      <c r="R64" s="555">
        <f t="shared" ref="R64:Y64" si="26">Q64+R22-R44</f>
        <v>1398</v>
      </c>
      <c r="S64" s="555">
        <f t="shared" si="26"/>
        <v>1198</v>
      </c>
      <c r="T64" s="555">
        <f t="shared" si="26"/>
        <v>1179</v>
      </c>
      <c r="U64" s="555">
        <f t="shared" si="26"/>
        <v>979</v>
      </c>
      <c r="V64" s="555">
        <f t="shared" si="26"/>
        <v>1110</v>
      </c>
      <c r="W64" s="553">
        <f t="shared" si="26"/>
        <v>1380</v>
      </c>
      <c r="X64" s="554">
        <f t="shared" si="26"/>
        <v>1180</v>
      </c>
      <c r="Y64" s="571">
        <f t="shared" si="26"/>
        <v>980</v>
      </c>
      <c r="Z64" s="572"/>
      <c r="AA64" s="572"/>
    </row>
    <row r="65" spans="1:27" ht="12.75" outlineLevel="1">
      <c r="A65" s="118"/>
      <c r="B65" s="520"/>
      <c r="C65" s="118"/>
      <c r="D65" s="118"/>
      <c r="E65" s="118"/>
      <c r="F65" s="428"/>
      <c r="G65" s="870"/>
      <c r="H65" s="945" t="s">
        <v>38</v>
      </c>
      <c r="I65" s="860"/>
      <c r="J65" s="583">
        <f t="shared" ref="J65:AA65" si="27">SUM(J49:J64)</f>
        <v>12350</v>
      </c>
      <c r="K65" s="583">
        <f t="shared" si="27"/>
        <v>9558</v>
      </c>
      <c r="L65" s="583">
        <f t="shared" si="27"/>
        <v>13870</v>
      </c>
      <c r="M65" s="583">
        <f t="shared" si="27"/>
        <v>21506.148387096775</v>
      </c>
      <c r="N65" s="583">
        <f t="shared" si="27"/>
        <v>30268</v>
      </c>
      <c r="O65" s="583">
        <f t="shared" si="27"/>
        <v>29574</v>
      </c>
      <c r="P65" s="583">
        <f t="shared" si="27"/>
        <v>24409</v>
      </c>
      <c r="Q65" s="584">
        <f t="shared" si="27"/>
        <v>26937.290322580644</v>
      </c>
      <c r="R65" s="585">
        <f t="shared" si="27"/>
        <v>25888.190322580642</v>
      </c>
      <c r="S65" s="585">
        <f t="shared" si="27"/>
        <v>36175.890322580643</v>
      </c>
      <c r="T65" s="585">
        <f t="shared" si="27"/>
        <v>30450.890322580646</v>
      </c>
      <c r="U65" s="585">
        <f t="shared" si="27"/>
        <v>23364.790322580644</v>
      </c>
      <c r="V65" s="585">
        <f t="shared" si="27"/>
        <v>17923.490322580641</v>
      </c>
      <c r="W65" s="583">
        <f t="shared" si="27"/>
        <v>37636.490322580648</v>
      </c>
      <c r="X65" s="584">
        <f t="shared" si="27"/>
        <v>37042.390322580643</v>
      </c>
      <c r="Y65" s="585">
        <f t="shared" si="27"/>
        <v>37730.09032258064</v>
      </c>
      <c r="Z65" s="585">
        <f t="shared" si="27"/>
        <v>0</v>
      </c>
      <c r="AA65" s="585">
        <f t="shared" si="27"/>
        <v>0</v>
      </c>
    </row>
    <row r="66" spans="1:27" ht="12.75">
      <c r="B66" s="426"/>
      <c r="F66" s="428"/>
      <c r="G66" s="428"/>
      <c r="H66" s="428"/>
      <c r="I66" s="428"/>
      <c r="J66" s="428"/>
      <c r="K66" s="428"/>
      <c r="L66" s="428"/>
      <c r="M66" s="428"/>
      <c r="N66" s="428"/>
      <c r="O66" s="428"/>
      <c r="P66" s="428"/>
      <c r="Q66" s="428"/>
      <c r="S66" s="428"/>
      <c r="T66" s="428"/>
      <c r="U66" s="428"/>
      <c r="V66" s="428"/>
      <c r="W66" s="428"/>
      <c r="X66" s="428"/>
    </row>
    <row r="67" spans="1:27" ht="12.75">
      <c r="B67" s="426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28"/>
      <c r="S67" s="428"/>
      <c r="T67" s="428"/>
      <c r="U67" s="428"/>
      <c r="V67" s="428"/>
      <c r="W67" s="428"/>
      <c r="X67" s="428"/>
    </row>
    <row r="68" spans="1:27" ht="12.75">
      <c r="B68" s="426"/>
      <c r="F68" s="428"/>
      <c r="G68" s="943" t="s">
        <v>302</v>
      </c>
      <c r="H68" s="879"/>
      <c r="I68" s="860"/>
      <c r="J68" s="587" t="s">
        <v>303</v>
      </c>
      <c r="K68" s="587" t="s">
        <v>18</v>
      </c>
      <c r="L68" s="587" t="s">
        <v>19</v>
      </c>
      <c r="M68" s="587" t="s">
        <v>20</v>
      </c>
      <c r="N68" s="587" t="s">
        <v>21</v>
      </c>
      <c r="O68" s="587" t="s">
        <v>22</v>
      </c>
      <c r="P68" s="587" t="s">
        <v>304</v>
      </c>
      <c r="Q68" s="588" t="s">
        <v>107</v>
      </c>
      <c r="R68" s="253" t="s">
        <v>25</v>
      </c>
      <c r="S68" s="253" t="s">
        <v>26</v>
      </c>
      <c r="T68" s="253" t="s">
        <v>15</v>
      </c>
      <c r="U68" s="253" t="s">
        <v>16</v>
      </c>
      <c r="V68" s="253" t="s">
        <v>17</v>
      </c>
      <c r="W68" s="587" t="s">
        <v>18</v>
      </c>
      <c r="X68" s="588" t="s">
        <v>19</v>
      </c>
      <c r="Y68" s="253" t="s">
        <v>20</v>
      </c>
      <c r="Z68" s="253" t="s">
        <v>21</v>
      </c>
      <c r="AA68" s="253" t="s">
        <v>22</v>
      </c>
    </row>
    <row r="69" spans="1:27" ht="12.75">
      <c r="B69" s="426"/>
      <c r="F69" s="428"/>
      <c r="G69" s="946" t="s">
        <v>305</v>
      </c>
      <c r="H69" s="441">
        <v>117547</v>
      </c>
      <c r="I69" s="443" t="s">
        <v>261</v>
      </c>
      <c r="J69" s="589">
        <f t="shared" ref="J69:Y69" si="28">J49/J29</f>
        <v>0.87671232876712324</v>
      </c>
      <c r="K69" s="589">
        <f t="shared" si="28"/>
        <v>0</v>
      </c>
      <c r="L69" s="589">
        <f t="shared" si="28"/>
        <v>6.1456310679611654</v>
      </c>
      <c r="M69" s="589">
        <f t="shared" si="28"/>
        <v>3.5926881720430104</v>
      </c>
      <c r="N69" s="589">
        <f t="shared" si="28"/>
        <v>6.0075757575757578</v>
      </c>
      <c r="O69" s="590">
        <f t="shared" si="28"/>
        <v>6.617647058823529</v>
      </c>
      <c r="P69" s="590">
        <f t="shared" si="28"/>
        <v>7.7445255474452557</v>
      </c>
      <c r="Q69" s="591">
        <f t="shared" si="28"/>
        <v>5.5072234316247775</v>
      </c>
      <c r="R69" s="612">
        <f t="shared" si="28"/>
        <v>8.5278592375366564</v>
      </c>
      <c r="S69" s="590">
        <f t="shared" si="28"/>
        <v>7.1570827489481053</v>
      </c>
      <c r="T69" s="590">
        <f t="shared" si="28"/>
        <v>6.6564141035258801</v>
      </c>
      <c r="U69" s="590">
        <f t="shared" si="28"/>
        <v>6.1044077813346451</v>
      </c>
      <c r="V69" s="590">
        <f t="shared" si="28"/>
        <v>5.2966725933451855</v>
      </c>
      <c r="W69" s="590">
        <f t="shared" si="28"/>
        <v>4.2552923387096762</v>
      </c>
      <c r="X69" s="591">
        <f t="shared" si="28"/>
        <v>3.1898263027295273</v>
      </c>
      <c r="Y69" s="591">
        <f t="shared" si="28"/>
        <v>2.1654764836247216</v>
      </c>
      <c r="Z69" s="612"/>
      <c r="AA69" s="612"/>
    </row>
    <row r="70" spans="1:27" ht="12.75">
      <c r="B70" s="426"/>
      <c r="F70" s="428"/>
      <c r="G70" s="869"/>
      <c r="H70" s="441">
        <v>552897</v>
      </c>
      <c r="I70" s="443" t="s">
        <v>269</v>
      </c>
      <c r="J70" s="595">
        <f t="shared" ref="J70:Y70" si="29">J50/J30</f>
        <v>11.072512647554806</v>
      </c>
      <c r="K70" s="595">
        <f t="shared" si="29"/>
        <v>4.632484514796972</v>
      </c>
      <c r="L70" s="595">
        <f t="shared" si="29"/>
        <v>17.851063829787233</v>
      </c>
      <c r="M70" s="595">
        <f t="shared" si="29"/>
        <v>10.591851166838927</v>
      </c>
      <c r="N70" s="595">
        <f t="shared" si="29"/>
        <v>4.084319526627219</v>
      </c>
      <c r="O70" s="590">
        <f t="shared" si="29"/>
        <v>8.6408094435075888</v>
      </c>
      <c r="P70" s="590">
        <f t="shared" si="29"/>
        <v>7.863406408094435</v>
      </c>
      <c r="Q70" s="591">
        <f t="shared" si="29"/>
        <v>2.2561330284394909</v>
      </c>
      <c r="R70" s="612">
        <f t="shared" si="29"/>
        <v>7.5517053799706249</v>
      </c>
      <c r="S70" s="590">
        <f t="shared" si="29"/>
        <v>6.8097154980144694</v>
      </c>
      <c r="T70" s="590">
        <f t="shared" si="29"/>
        <v>2.8115356437182246</v>
      </c>
      <c r="U70" s="590">
        <f t="shared" si="29"/>
        <v>5.8889735081325139</v>
      </c>
      <c r="V70" s="590">
        <f t="shared" si="29"/>
        <v>4.8889735081325139</v>
      </c>
      <c r="W70" s="590">
        <f t="shared" si="29"/>
        <v>2.4405790022867038</v>
      </c>
      <c r="X70" s="591">
        <f t="shared" si="29"/>
        <v>4.9800359027362235</v>
      </c>
      <c r="Y70" s="591">
        <f t="shared" si="29"/>
        <v>3.9800359027362235</v>
      </c>
      <c r="Z70" s="612"/>
      <c r="AA70" s="612"/>
    </row>
    <row r="71" spans="1:27" ht="12.75">
      <c r="B71" s="426"/>
      <c r="F71" s="428"/>
      <c r="G71" s="869"/>
      <c r="H71" s="441">
        <v>117771</v>
      </c>
      <c r="I71" s="443" t="s">
        <v>270</v>
      </c>
      <c r="J71" s="595">
        <f t="shared" ref="J71:Y71" si="30">J51/J31</f>
        <v>5.0357142857142856</v>
      </c>
      <c r="K71" s="595">
        <f t="shared" si="30"/>
        <v>1.375</v>
      </c>
      <c r="L71" s="595">
        <f t="shared" si="30"/>
        <v>27</v>
      </c>
      <c r="M71" s="595">
        <f t="shared" si="30"/>
        <v>4.8752688172043008</v>
      </c>
      <c r="N71" s="595">
        <f t="shared" si="30"/>
        <v>2.6355140186915889</v>
      </c>
      <c r="O71" s="590">
        <f t="shared" si="30"/>
        <v>16</v>
      </c>
      <c r="P71" s="590">
        <f t="shared" si="30"/>
        <v>15.7</v>
      </c>
      <c r="Q71" s="591">
        <f t="shared" si="30"/>
        <v>2.9083333333333332</v>
      </c>
      <c r="R71" s="612">
        <f t="shared" si="30"/>
        <v>15.633333333333333</v>
      </c>
      <c r="S71" s="590">
        <f t="shared" si="30"/>
        <v>14.633333333333333</v>
      </c>
      <c r="T71" s="590">
        <f t="shared" si="30"/>
        <v>2.9083333333333332</v>
      </c>
      <c r="U71" s="590">
        <f t="shared" si="30"/>
        <v>10.633333333333333</v>
      </c>
      <c r="V71" s="590">
        <f t="shared" si="30"/>
        <v>9.6333333333333329</v>
      </c>
      <c r="W71" s="590">
        <f t="shared" si="30"/>
        <v>2.4083333333333332</v>
      </c>
      <c r="X71" s="591">
        <f t="shared" si="30"/>
        <v>8.6333333333333329</v>
      </c>
      <c r="Y71" s="591">
        <f t="shared" si="30"/>
        <v>7.6333333333333337</v>
      </c>
      <c r="Z71" s="612"/>
      <c r="AA71" s="612"/>
    </row>
    <row r="72" spans="1:27" ht="12.75">
      <c r="B72" s="426"/>
      <c r="F72" s="428"/>
      <c r="G72" s="869"/>
      <c r="H72" s="441">
        <v>646546</v>
      </c>
      <c r="I72" s="443" t="s">
        <v>271</v>
      </c>
      <c r="J72" s="589">
        <f t="shared" ref="J72:Y72" si="31">J52/J32</f>
        <v>2.4</v>
      </c>
      <c r="K72" s="589">
        <f t="shared" si="31"/>
        <v>1.675</v>
      </c>
      <c r="L72" s="589">
        <f t="shared" si="31"/>
        <v>67</v>
      </c>
      <c r="M72" s="589">
        <f t="shared" si="31"/>
        <v>0.97270471464019859</v>
      </c>
      <c r="N72" s="589">
        <f t="shared" si="31"/>
        <v>1.4466019417475728</v>
      </c>
      <c r="O72" s="590">
        <f t="shared" si="31"/>
        <v>7.8974358974358978</v>
      </c>
      <c r="P72" s="590">
        <f t="shared" si="31"/>
        <v>7.4615384615384617</v>
      </c>
      <c r="Q72" s="591">
        <f t="shared" si="31"/>
        <v>6.2307692307692308</v>
      </c>
      <c r="R72" s="612">
        <f t="shared" si="31"/>
        <v>5.2307692307692308</v>
      </c>
      <c r="S72" s="590">
        <f t="shared" si="31"/>
        <v>4.2307692307692308</v>
      </c>
      <c r="T72" s="590">
        <f t="shared" si="31"/>
        <v>3.2307692307692308</v>
      </c>
      <c r="U72" s="590">
        <f t="shared" si="31"/>
        <v>3.5384615384615383</v>
      </c>
      <c r="V72" s="590">
        <f t="shared" si="31"/>
        <v>2.6923076923076925</v>
      </c>
      <c r="W72" s="590">
        <f t="shared" si="31"/>
        <v>2.8461538461538463</v>
      </c>
      <c r="X72" s="591">
        <f t="shared" si="31"/>
        <v>2.7692307692307692</v>
      </c>
      <c r="Y72" s="591">
        <f t="shared" si="31"/>
        <v>1.7692307692307692</v>
      </c>
      <c r="Z72" s="612"/>
      <c r="AA72" s="612"/>
    </row>
    <row r="73" spans="1:27" ht="12.75">
      <c r="B73" s="426"/>
      <c r="F73" s="428"/>
      <c r="G73" s="869"/>
      <c r="H73" s="441">
        <v>646567</v>
      </c>
      <c r="I73" s="443" t="s">
        <v>272</v>
      </c>
      <c r="J73" s="605">
        <f t="shared" ref="J73:Y73" si="32">J53/J33</f>
        <v>5.0454545454545459</v>
      </c>
      <c r="K73" s="605">
        <f t="shared" si="32"/>
        <v>0.7142857142857143</v>
      </c>
      <c r="L73" s="605">
        <f t="shared" si="32"/>
        <v>1190</v>
      </c>
      <c r="M73" s="605">
        <f t="shared" si="32"/>
        <v>1189.7419354838707</v>
      </c>
      <c r="N73" s="605">
        <f t="shared" si="32"/>
        <v>1.3934426229508197</v>
      </c>
      <c r="O73" s="607">
        <f t="shared" si="32"/>
        <v>850</v>
      </c>
      <c r="P73" s="607">
        <f t="shared" si="32"/>
        <v>630</v>
      </c>
      <c r="Q73" s="608">
        <f t="shared" si="32"/>
        <v>2.8985507246376812E-2</v>
      </c>
      <c r="R73" s="616">
        <f t="shared" si="32"/>
        <v>619</v>
      </c>
      <c r="S73" s="607">
        <f t="shared" si="32"/>
        <v>2897.9999999999995</v>
      </c>
      <c r="T73" s="607">
        <f t="shared" si="32"/>
        <v>3.1999999999999993</v>
      </c>
      <c r="U73" s="607">
        <f t="shared" si="32"/>
        <v>2206.9999999999995</v>
      </c>
      <c r="V73" s="607">
        <f t="shared" si="32"/>
        <v>2205.9999999999995</v>
      </c>
      <c r="W73" s="607">
        <f t="shared" si="32"/>
        <v>2.1971014492753618</v>
      </c>
      <c r="X73" s="608">
        <f t="shared" si="32"/>
        <v>1514.9999999999995</v>
      </c>
      <c r="Y73" s="608">
        <f t="shared" si="32"/>
        <v>1513.9999999999998</v>
      </c>
      <c r="Z73" s="616"/>
      <c r="AA73" s="616"/>
    </row>
    <row r="74" spans="1:27" ht="12.75">
      <c r="B74" s="426"/>
      <c r="F74" s="428"/>
      <c r="G74" s="869"/>
      <c r="H74" s="441">
        <v>691217</v>
      </c>
      <c r="I74" s="443" t="s">
        <v>273</v>
      </c>
      <c r="J74" s="605">
        <f t="shared" ref="J74:Y74" si="33">J54/J34</f>
        <v>0.38709677419354838</v>
      </c>
      <c r="K74" s="605">
        <f t="shared" si="33"/>
        <v>0</v>
      </c>
      <c r="L74" s="605">
        <f t="shared" si="33"/>
        <v>7.6923076923076927E-2</v>
      </c>
      <c r="M74" s="605">
        <f t="shared" si="33"/>
        <v>0.78955453149001542</v>
      </c>
      <c r="N74" s="605">
        <f t="shared" si="33"/>
        <v>5.8965517241379306</v>
      </c>
      <c r="O74" s="607">
        <f t="shared" si="33"/>
        <v>6.9142857142857146</v>
      </c>
      <c r="P74" s="607">
        <f t="shared" si="33"/>
        <v>6.2</v>
      </c>
      <c r="Q74" s="608">
        <f t="shared" si="33"/>
        <v>5.8</v>
      </c>
      <c r="R74" s="616">
        <f t="shared" si="33"/>
        <v>4.8</v>
      </c>
      <c r="S74" s="607">
        <f t="shared" si="33"/>
        <v>5.1714285714285717</v>
      </c>
      <c r="T74" s="607">
        <f t="shared" si="33"/>
        <v>4.1714285714285717</v>
      </c>
      <c r="U74" s="607">
        <f t="shared" si="33"/>
        <v>4.2</v>
      </c>
      <c r="V74" s="607">
        <f t="shared" si="33"/>
        <v>3.2</v>
      </c>
      <c r="W74" s="607">
        <f t="shared" si="33"/>
        <v>3.5714285714285716</v>
      </c>
      <c r="X74" s="608">
        <f t="shared" si="33"/>
        <v>2.5714285714285716</v>
      </c>
      <c r="Y74" s="608">
        <f t="shared" si="33"/>
        <v>1.5714285714285714</v>
      </c>
      <c r="Z74" s="616"/>
      <c r="AA74" s="616"/>
    </row>
    <row r="75" spans="1:27" ht="12.75">
      <c r="B75" s="426"/>
      <c r="F75" s="428"/>
      <c r="G75" s="869"/>
      <c r="H75" s="441">
        <v>611174</v>
      </c>
      <c r="I75" s="443" t="s">
        <v>274</v>
      </c>
      <c r="J75" s="605">
        <f t="shared" ref="J75:Y75" si="34">J55/J35</f>
        <v>0</v>
      </c>
      <c r="K75" s="605">
        <f t="shared" si="34"/>
        <v>8.9126559714795004E-4</v>
      </c>
      <c r="L75" s="605">
        <f t="shared" si="34"/>
        <v>0</v>
      </c>
      <c r="M75" s="605">
        <f t="shared" si="34"/>
        <v>4.4973416965352451</v>
      </c>
      <c r="N75" s="605">
        <f t="shared" si="34"/>
        <v>4.0142857142857142</v>
      </c>
      <c r="O75" s="607">
        <f t="shared" si="34"/>
        <v>1.9220014716703457</v>
      </c>
      <c r="P75" s="607">
        <f t="shared" si="34"/>
        <v>0.81082024432809774</v>
      </c>
      <c r="Q75" s="608">
        <f t="shared" si="34"/>
        <v>3.7780335380610741</v>
      </c>
      <c r="R75" s="616">
        <f t="shared" si="34"/>
        <v>2.6679581031547945</v>
      </c>
      <c r="S75" s="607">
        <f t="shared" si="34"/>
        <v>5.6819236692757222</v>
      </c>
      <c r="T75" s="607">
        <f t="shared" si="34"/>
        <v>4.5707991601940234</v>
      </c>
      <c r="U75" s="607">
        <f t="shared" si="34"/>
        <v>3.5258166922683043</v>
      </c>
      <c r="V75" s="607">
        <f t="shared" si="34"/>
        <v>2.4903590762555496</v>
      </c>
      <c r="W75" s="607">
        <f t="shared" si="34"/>
        <v>8.9328943934801366</v>
      </c>
      <c r="X75" s="608">
        <f t="shared" si="34"/>
        <v>8.0227286551367563</v>
      </c>
      <c r="Y75" s="608">
        <f t="shared" si="34"/>
        <v>6.8669715194592174</v>
      </c>
      <c r="Z75" s="616"/>
      <c r="AA75" s="616"/>
    </row>
    <row r="76" spans="1:27" ht="12.75">
      <c r="B76" s="426"/>
      <c r="F76" s="428"/>
      <c r="G76" s="869"/>
      <c r="H76" s="441">
        <v>701775</v>
      </c>
      <c r="I76" s="443" t="s">
        <v>275</v>
      </c>
      <c r="J76" s="605">
        <f t="shared" ref="J76:Y76" si="35">J56/J36</f>
        <v>2.4929098128190583</v>
      </c>
      <c r="K76" s="605">
        <f t="shared" si="35"/>
        <v>3.4890190336749636</v>
      </c>
      <c r="L76" s="605">
        <f t="shared" si="35"/>
        <v>2.2424242424242422</v>
      </c>
      <c r="M76" s="605">
        <f t="shared" si="35"/>
        <v>0.49631084586134822</v>
      </c>
      <c r="N76" s="605">
        <f t="shared" si="35"/>
        <v>3.4924795874516543</v>
      </c>
      <c r="O76" s="607">
        <f t="shared" si="35"/>
        <v>5.8113207547169807</v>
      </c>
      <c r="P76" s="607">
        <f t="shared" si="35"/>
        <v>4.7843791722296398</v>
      </c>
      <c r="Q76" s="608">
        <f t="shared" si="35"/>
        <v>1.364010428118227</v>
      </c>
      <c r="R76" s="616">
        <f t="shared" si="35"/>
        <v>1.0981108981688754</v>
      </c>
      <c r="S76" s="607">
        <f t="shared" si="35"/>
        <v>2.147256647726425</v>
      </c>
      <c r="T76" s="607">
        <f t="shared" si="35"/>
        <v>0.50162176819665616</v>
      </c>
      <c r="U76" s="607">
        <f t="shared" si="35"/>
        <v>-0.27295401638600864</v>
      </c>
      <c r="V76" s="607">
        <f t="shared" si="35"/>
        <v>-1.2575083426028923</v>
      </c>
      <c r="W76" s="607">
        <f t="shared" si="35"/>
        <v>-1.4498667107519996</v>
      </c>
      <c r="X76" s="608">
        <f t="shared" si="35"/>
        <v>-0.80897275289696235</v>
      </c>
      <c r="Y76" s="608">
        <f t="shared" si="35"/>
        <v>2.0021073863892944</v>
      </c>
      <c r="Z76" s="616"/>
      <c r="AA76" s="616"/>
    </row>
    <row r="77" spans="1:27" ht="12.75">
      <c r="B77" s="426"/>
      <c r="F77" s="428"/>
      <c r="G77" s="869"/>
      <c r="H77" s="441">
        <v>646548</v>
      </c>
      <c r="I77" s="443" t="s">
        <v>277</v>
      </c>
      <c r="J77" s="605">
        <f t="shared" ref="J77:Y77" si="36">J57/J37</f>
        <v>3.0789473684210527</v>
      </c>
      <c r="K77" s="605">
        <f t="shared" si="36"/>
        <v>0.2</v>
      </c>
      <c r="L77" s="605">
        <f t="shared" si="36"/>
        <v>19.666666666666668</v>
      </c>
      <c r="M77" s="605">
        <f t="shared" si="36"/>
        <v>7.8847926267281112</v>
      </c>
      <c r="N77" s="605">
        <f t="shared" si="36"/>
        <v>0.67826086956521736</v>
      </c>
      <c r="O77" s="607">
        <f t="shared" si="36"/>
        <v>11</v>
      </c>
      <c r="P77" s="607">
        <f t="shared" si="36"/>
        <v>10.523809523809524</v>
      </c>
      <c r="Q77" s="608">
        <f t="shared" si="36"/>
        <v>1.288888888888889</v>
      </c>
      <c r="R77" s="616">
        <f t="shared" si="36"/>
        <v>6.666666666666667</v>
      </c>
      <c r="S77" s="607">
        <f t="shared" si="36"/>
        <v>5.666666666666667</v>
      </c>
      <c r="T77" s="607">
        <f t="shared" si="36"/>
        <v>2.1222222222222222</v>
      </c>
      <c r="U77" s="607">
        <f t="shared" si="36"/>
        <v>8.0952380952380949</v>
      </c>
      <c r="V77" s="607">
        <f t="shared" si="36"/>
        <v>7.0952380952380949</v>
      </c>
      <c r="W77" s="607">
        <f t="shared" si="36"/>
        <v>2.1555555555555554</v>
      </c>
      <c r="X77" s="608">
        <f t="shared" si="36"/>
        <v>8.2380952380952372</v>
      </c>
      <c r="Y77" s="608">
        <f t="shared" si="36"/>
        <v>7.2380952380952381</v>
      </c>
      <c r="Z77" s="616"/>
      <c r="AA77" s="616"/>
    </row>
    <row r="78" spans="1:27" ht="12.75">
      <c r="B78" s="426"/>
      <c r="F78" s="428"/>
      <c r="G78" s="869"/>
      <c r="H78" s="441">
        <v>589462</v>
      </c>
      <c r="I78" s="443" t="s">
        <v>279</v>
      </c>
      <c r="J78" s="605">
        <f t="shared" ref="J78:Y78" si="37">J58/J38</f>
        <v>5</v>
      </c>
      <c r="K78" s="605">
        <f t="shared" si="37"/>
        <v>0.87</v>
      </c>
      <c r="L78" s="605">
        <f t="shared" si="37"/>
        <v>2.9642857142857144</v>
      </c>
      <c r="M78" s="605">
        <f t="shared" si="37"/>
        <v>13.5752688172043</v>
      </c>
      <c r="N78" s="605">
        <f t="shared" si="37"/>
        <v>2.21875</v>
      </c>
      <c r="O78" s="607">
        <f t="shared" si="37"/>
        <v>19.166666666666668</v>
      </c>
      <c r="P78" s="607">
        <f t="shared" si="37"/>
        <v>19.166666666666668</v>
      </c>
      <c r="Q78" s="608">
        <f t="shared" si="37"/>
        <v>2.3235294117647061</v>
      </c>
      <c r="R78" s="616">
        <f t="shared" si="37"/>
        <v>12.166666666666666</v>
      </c>
      <c r="S78" s="607">
        <f t="shared" si="37"/>
        <v>20.5</v>
      </c>
      <c r="T78" s="607">
        <f t="shared" si="37"/>
        <v>2.6176470588235294</v>
      </c>
      <c r="U78" s="607">
        <f t="shared" si="37"/>
        <v>13.833333333333334</v>
      </c>
      <c r="V78" s="607">
        <f t="shared" si="37"/>
        <v>16.166666666666668</v>
      </c>
      <c r="W78" s="607">
        <f t="shared" si="37"/>
        <v>2.4411764705882355</v>
      </c>
      <c r="X78" s="608">
        <f t="shared" si="37"/>
        <v>12.833333333333334</v>
      </c>
      <c r="Y78" s="608">
        <f t="shared" si="37"/>
        <v>11.833333333333334</v>
      </c>
      <c r="Z78" s="616"/>
      <c r="AA78" s="616"/>
    </row>
    <row r="79" spans="1:27" ht="12.75">
      <c r="B79" s="426"/>
      <c r="F79" s="428"/>
      <c r="G79" s="869"/>
      <c r="H79" s="441">
        <v>589466</v>
      </c>
      <c r="I79" s="443" t="s">
        <v>281</v>
      </c>
      <c r="J79" s="605">
        <f t="shared" ref="J79:Y79" si="38">J59/J39</f>
        <v>2.5833333333333335</v>
      </c>
      <c r="K79" s="605">
        <f t="shared" si="38"/>
        <v>0.08</v>
      </c>
      <c r="L79" s="605">
        <f t="shared" si="38"/>
        <v>2.8541666666666665</v>
      </c>
      <c r="M79" s="605">
        <f t="shared" si="38"/>
        <v>4.3086021505376344</v>
      </c>
      <c r="N79" s="605">
        <f t="shared" si="38"/>
        <v>0.3037037037037037</v>
      </c>
      <c r="O79" s="607">
        <f t="shared" si="38"/>
        <v>2.7777777777777777</v>
      </c>
      <c r="P79" s="607">
        <f t="shared" si="38"/>
        <v>6.666666666666667</v>
      </c>
      <c r="Q79" s="608">
        <f t="shared" si="38"/>
        <v>7.3333333333333334E-2</v>
      </c>
      <c r="R79" s="616">
        <f t="shared" si="38"/>
        <v>3.9027777777777777</v>
      </c>
      <c r="S79" s="607">
        <f t="shared" si="38"/>
        <v>9.3666666666666671</v>
      </c>
      <c r="T79" s="607">
        <f t="shared" si="38"/>
        <v>0.87333333333333329</v>
      </c>
      <c r="U79" s="607">
        <f t="shared" si="38"/>
        <v>0.81944444444444442</v>
      </c>
      <c r="V79" s="607">
        <f t="shared" si="38"/>
        <v>0.96666666666666667</v>
      </c>
      <c r="W79" s="607">
        <f t="shared" si="38"/>
        <v>1.9933333333333334</v>
      </c>
      <c r="X79" s="608">
        <f t="shared" si="38"/>
        <v>3.1527777777777777</v>
      </c>
      <c r="Y79" s="608">
        <f t="shared" si="38"/>
        <v>6.5666666666666664</v>
      </c>
      <c r="Z79" s="616"/>
      <c r="AA79" s="616"/>
    </row>
    <row r="80" spans="1:27" ht="12.75">
      <c r="B80" s="426"/>
      <c r="F80" s="428"/>
      <c r="G80" s="869"/>
      <c r="H80" s="441">
        <v>116180</v>
      </c>
      <c r="I80" s="443" t="s">
        <v>282</v>
      </c>
      <c r="J80" s="605">
        <f t="shared" ref="J80:Y80" si="39">J60/J40</f>
        <v>3.6</v>
      </c>
      <c r="K80" s="605">
        <f t="shared" si="39"/>
        <v>2.5000000000000001E-2</v>
      </c>
      <c r="L80" s="605">
        <f t="shared" si="39"/>
        <v>2.2684310018903593E-2</v>
      </c>
      <c r="M80" s="605">
        <f t="shared" si="39"/>
        <v>0.43137254901960786</v>
      </c>
      <c r="N80" s="605">
        <f t="shared" si="39"/>
        <v>0.47560975609756095</v>
      </c>
      <c r="O80" s="607">
        <f t="shared" si="39"/>
        <v>1</v>
      </c>
      <c r="P80" s="607">
        <f t="shared" si="39"/>
        <v>7.8235294117647056</v>
      </c>
      <c r="Q80" s="608">
        <f t="shared" si="39"/>
        <v>0.04</v>
      </c>
      <c r="R80" s="616">
        <f t="shared" si="39"/>
        <v>0.54</v>
      </c>
      <c r="S80" s="607">
        <f t="shared" si="39"/>
        <v>3.2352941176470589</v>
      </c>
      <c r="T80" s="607">
        <f t="shared" si="39"/>
        <v>3.0125000000000002</v>
      </c>
      <c r="U80" s="607">
        <f t="shared" si="39"/>
        <v>2.8374999999999999</v>
      </c>
      <c r="V80" s="607">
        <f t="shared" si="39"/>
        <v>21.254901960784313</v>
      </c>
      <c r="W80" s="607">
        <f t="shared" si="39"/>
        <v>2.6942355889724312</v>
      </c>
      <c r="X80" s="608">
        <f t="shared" si="39"/>
        <v>12.271604938271604</v>
      </c>
      <c r="Y80" s="608">
        <f t="shared" si="39"/>
        <v>18.490196078431371</v>
      </c>
      <c r="Z80" s="616"/>
      <c r="AA80" s="616"/>
    </row>
    <row r="81" spans="2:27" ht="12.75">
      <c r="B81" s="426"/>
      <c r="F81" s="428"/>
      <c r="G81" s="869"/>
      <c r="H81" s="441">
        <v>695413</v>
      </c>
      <c r="I81" s="443" t="s">
        <v>283</v>
      </c>
      <c r="J81" s="605">
        <f t="shared" ref="J81:Y81" si="40">J61/J41</f>
        <v>2.0816326530612246</v>
      </c>
      <c r="K81" s="605">
        <f t="shared" si="40"/>
        <v>0.125</v>
      </c>
      <c r="L81" s="605">
        <f t="shared" si="40"/>
        <v>3.1147540983606556</v>
      </c>
      <c r="M81" s="605">
        <f t="shared" si="40"/>
        <v>1649.7419354838707</v>
      </c>
      <c r="N81" s="605">
        <f t="shared" si="40"/>
        <v>0.7639751552795031</v>
      </c>
      <c r="O81" s="607">
        <f t="shared" si="40"/>
        <v>4.26</v>
      </c>
      <c r="P81" s="607">
        <f t="shared" si="40"/>
        <v>1970</v>
      </c>
      <c r="Q81" s="608">
        <f t="shared" si="40"/>
        <v>0.67948717948717952</v>
      </c>
      <c r="R81" s="616">
        <f t="shared" si="40"/>
        <v>1.5</v>
      </c>
      <c r="S81" s="607">
        <f t="shared" si="40"/>
        <v>749</v>
      </c>
      <c r="T81" s="607">
        <f t="shared" si="40"/>
        <v>0.57564102564102571</v>
      </c>
      <c r="U81" s="607">
        <f t="shared" si="40"/>
        <v>1.8180000000000001</v>
      </c>
      <c r="V81" s="607">
        <f t="shared" si="40"/>
        <v>908.00000000000011</v>
      </c>
      <c r="W81" s="607">
        <f t="shared" si="40"/>
        <v>1.394871794871795</v>
      </c>
      <c r="X81" s="608">
        <f t="shared" si="40"/>
        <v>5.0444444444444452</v>
      </c>
      <c r="Y81" s="608">
        <f t="shared" si="40"/>
        <v>907.00000000000011</v>
      </c>
      <c r="Z81" s="616"/>
      <c r="AA81" s="616"/>
    </row>
    <row r="82" spans="2:27" ht="12.75">
      <c r="B82" s="426"/>
      <c r="F82" s="428"/>
      <c r="G82" s="869"/>
      <c r="H82" s="441">
        <v>699883</v>
      </c>
      <c r="I82" s="443" t="s">
        <v>284</v>
      </c>
      <c r="J82" s="605">
        <f t="shared" ref="J82:Y82" si="41">J62/J42</f>
        <v>3.6923076923076925</v>
      </c>
      <c r="K82" s="605">
        <f t="shared" si="41"/>
        <v>0.25</v>
      </c>
      <c r="L82" s="605">
        <f t="shared" si="41"/>
        <v>1520</v>
      </c>
      <c r="M82" s="605">
        <f t="shared" si="41"/>
        <v>1529.7419354838707</v>
      </c>
      <c r="N82" s="605">
        <f t="shared" si="41"/>
        <v>3.4</v>
      </c>
      <c r="O82" s="607">
        <f t="shared" si="41"/>
        <v>27.583333333333332</v>
      </c>
      <c r="P82" s="607">
        <f t="shared" si="41"/>
        <v>3310</v>
      </c>
      <c r="Q82" s="608">
        <f t="shared" si="41"/>
        <v>2.8076923076923075</v>
      </c>
      <c r="R82" s="616">
        <f t="shared" si="41"/>
        <v>23.25</v>
      </c>
      <c r="S82" s="607">
        <f t="shared" si="41"/>
        <v>2788.9999999999995</v>
      </c>
      <c r="T82" s="607">
        <f t="shared" si="41"/>
        <v>2.5756410256410254</v>
      </c>
      <c r="U82" s="607">
        <f t="shared" si="41"/>
        <v>15.741666666666665</v>
      </c>
      <c r="V82" s="607">
        <f t="shared" si="41"/>
        <v>1887.9999999999998</v>
      </c>
      <c r="W82" s="607">
        <f t="shared" si="41"/>
        <v>1.8820512820512818</v>
      </c>
      <c r="X82" s="608">
        <f t="shared" si="41"/>
        <v>11.233333333333333</v>
      </c>
      <c r="Y82" s="608">
        <f t="shared" si="41"/>
        <v>1346.9999999999998</v>
      </c>
      <c r="Z82" s="616"/>
      <c r="AA82" s="616"/>
    </row>
    <row r="83" spans="2:27" ht="12.75">
      <c r="B83" s="426"/>
      <c r="F83" s="428"/>
      <c r="G83" s="869"/>
      <c r="H83" s="441">
        <v>645380</v>
      </c>
      <c r="I83" s="443" t="s">
        <v>285</v>
      </c>
      <c r="J83" s="605">
        <f t="shared" ref="J83:L83" si="42">J63/J43</f>
        <v>0.91666666666666663</v>
      </c>
      <c r="K83" s="605">
        <f t="shared" si="42"/>
        <v>8.5653104925053538E-3</v>
      </c>
      <c r="L83" s="605">
        <f t="shared" si="42"/>
        <v>3.2599771949828962</v>
      </c>
      <c r="M83" s="605">
        <f>M63/O43</f>
        <v>3.5624541788856305</v>
      </c>
      <c r="N83" s="605">
        <f t="shared" ref="N83:Y83" si="43">N63/N43</f>
        <v>7.364951768488746</v>
      </c>
      <c r="O83" s="607">
        <f t="shared" si="43"/>
        <v>8.9602272727272734</v>
      </c>
      <c r="P83" s="607">
        <f t="shared" si="43"/>
        <v>8.9889064976228212</v>
      </c>
      <c r="Q83" s="608">
        <f t="shared" si="43"/>
        <v>7.7943728131141263</v>
      </c>
      <c r="R83" s="616">
        <f t="shared" si="43"/>
        <v>8.8816450255621415</v>
      </c>
      <c r="S83" s="607">
        <f t="shared" si="43"/>
        <v>7.2996237263772041</v>
      </c>
      <c r="T83" s="607">
        <f t="shared" si="43"/>
        <v>7.3133760093719928</v>
      </c>
      <c r="U83" s="607">
        <f t="shared" si="43"/>
        <v>6.1738077649183296</v>
      </c>
      <c r="V83" s="607">
        <f t="shared" si="43"/>
        <v>6.9168060533651934</v>
      </c>
      <c r="W83" s="607">
        <f t="shared" si="43"/>
        <v>6.1560151802656549</v>
      </c>
      <c r="X83" s="608">
        <f t="shared" si="43"/>
        <v>7.1869766044537915</v>
      </c>
      <c r="Y83" s="608">
        <f t="shared" si="43"/>
        <v>6.047503314184711</v>
      </c>
      <c r="Z83" s="616"/>
      <c r="AA83" s="616"/>
    </row>
    <row r="84" spans="2:27" ht="12.75">
      <c r="B84" s="426"/>
      <c r="F84" s="428"/>
      <c r="G84" s="869"/>
      <c r="H84" s="441">
        <v>578785</v>
      </c>
      <c r="I84" s="443" t="s">
        <v>288</v>
      </c>
      <c r="J84" s="605">
        <f t="shared" ref="J84:Y84" si="44">J64/J44</f>
        <v>0</v>
      </c>
      <c r="K84" s="605">
        <f t="shared" si="44"/>
        <v>0</v>
      </c>
      <c r="L84" s="605">
        <f t="shared" si="44"/>
        <v>1.5075593952483801</v>
      </c>
      <c r="M84" s="605">
        <f t="shared" si="44"/>
        <v>3.1469354838709678</v>
      </c>
      <c r="N84" s="605">
        <f t="shared" si="44"/>
        <v>0.99691358024691357</v>
      </c>
      <c r="O84" s="607">
        <f t="shared" si="44"/>
        <v>2.7949999999999999</v>
      </c>
      <c r="P84" s="607">
        <f t="shared" si="44"/>
        <v>3.94</v>
      </c>
      <c r="Q84" s="608">
        <f t="shared" si="44"/>
        <v>1.5257142857142858</v>
      </c>
      <c r="R84" s="616">
        <f t="shared" si="44"/>
        <v>6.99</v>
      </c>
      <c r="S84" s="607">
        <f t="shared" si="44"/>
        <v>5.99</v>
      </c>
      <c r="T84" s="607">
        <f t="shared" si="44"/>
        <v>3.3685714285714288</v>
      </c>
      <c r="U84" s="607">
        <f t="shared" si="44"/>
        <v>4.8949999999999996</v>
      </c>
      <c r="V84" s="607">
        <f t="shared" si="44"/>
        <v>5.55</v>
      </c>
      <c r="W84" s="607">
        <f t="shared" si="44"/>
        <v>3.9428571428571431</v>
      </c>
      <c r="X84" s="608">
        <f t="shared" si="44"/>
        <v>5.9</v>
      </c>
      <c r="Y84" s="608">
        <f t="shared" si="44"/>
        <v>4.9000000000000004</v>
      </c>
      <c r="Z84" s="616"/>
      <c r="AA84" s="616"/>
    </row>
    <row r="85" spans="2:27" ht="12.75">
      <c r="B85" s="426"/>
      <c r="F85" s="428"/>
      <c r="G85" s="870"/>
      <c r="H85" s="947" t="s">
        <v>38</v>
      </c>
      <c r="I85" s="860"/>
      <c r="J85" s="613">
        <f t="shared" ref="J85:AA85" si="45">AVERAGE(J69:J84)</f>
        <v>3.0164555067683336</v>
      </c>
      <c r="K85" s="613">
        <f t="shared" si="45"/>
        <v>0.8403278649279563</v>
      </c>
      <c r="L85" s="613">
        <f t="shared" si="45"/>
        <v>178.98163351645786</v>
      </c>
      <c r="M85" s="613">
        <f t="shared" si="45"/>
        <v>276.74693451265449</v>
      </c>
      <c r="N85" s="613">
        <f t="shared" si="45"/>
        <v>2.8233084829281183</v>
      </c>
      <c r="O85" s="613">
        <f t="shared" si="45"/>
        <v>61.334156586934071</v>
      </c>
      <c r="P85" s="613">
        <f t="shared" si="45"/>
        <v>376.10464053751042</v>
      </c>
      <c r="Q85" s="614">
        <f t="shared" si="45"/>
        <v>2.7754066698492084</v>
      </c>
      <c r="R85" s="615">
        <f t="shared" si="45"/>
        <v>45.52546826997542</v>
      </c>
      <c r="S85" s="615">
        <f t="shared" si="45"/>
        <v>408.36811005480325</v>
      </c>
      <c r="T85" s="615">
        <f t="shared" si="45"/>
        <v>3.1568646196731556</v>
      </c>
      <c r="U85" s="615">
        <f t="shared" si="45"/>
        <v>143.42700182135906</v>
      </c>
      <c r="V85" s="615">
        <f t="shared" si="45"/>
        <v>317.93090108146822</v>
      </c>
      <c r="W85" s="613">
        <f t="shared" si="45"/>
        <v>2.9913757857756913</v>
      </c>
      <c r="X85" s="614">
        <f t="shared" si="45"/>
        <v>100.63863602821296</v>
      </c>
      <c r="Y85" s="615">
        <f t="shared" si="45"/>
        <v>240.56652366230705</v>
      </c>
      <c r="Z85" s="621" t="e">
        <f t="shared" si="45"/>
        <v>#DIV/0!</v>
      </c>
      <c r="AA85" s="621" t="e">
        <f t="shared" si="45"/>
        <v>#DIV/0!</v>
      </c>
    </row>
    <row r="86" spans="2:27" ht="12.75">
      <c r="B86" s="426"/>
      <c r="F86" s="428"/>
      <c r="G86" s="428"/>
      <c r="H86" s="428"/>
      <c r="I86" s="428"/>
      <c r="J86" s="428"/>
      <c r="K86" s="428"/>
      <c r="L86" s="428"/>
      <c r="M86" s="428"/>
      <c r="N86" s="428"/>
      <c r="O86" s="428"/>
      <c r="P86" s="428"/>
      <c r="Q86" s="428"/>
      <c r="S86" s="428"/>
      <c r="W86" s="428"/>
      <c r="X86" s="428"/>
    </row>
    <row r="87" spans="2:27" ht="12.75">
      <c r="B87" s="426"/>
      <c r="F87" s="428"/>
      <c r="G87" s="428"/>
      <c r="H87" s="428"/>
      <c r="I87" s="428"/>
      <c r="J87" s="428"/>
      <c r="K87" s="428"/>
      <c r="L87" s="428"/>
      <c r="M87" s="428"/>
      <c r="N87" s="428"/>
      <c r="O87" s="428"/>
      <c r="P87" s="428"/>
      <c r="Q87" s="428"/>
      <c r="S87" s="428"/>
      <c r="W87" s="428"/>
      <c r="X87" s="428"/>
    </row>
    <row r="88" spans="2:27" ht="12.75">
      <c r="F88" s="428"/>
      <c r="J88" s="428"/>
      <c r="K88" s="428"/>
      <c r="L88" s="428"/>
      <c r="M88" s="428"/>
      <c r="N88" s="428"/>
      <c r="O88" s="428"/>
      <c r="P88" s="428"/>
      <c r="Q88" s="428"/>
      <c r="S88" s="428"/>
      <c r="W88" s="428"/>
      <c r="X88" s="428"/>
    </row>
    <row r="89" spans="2:27" ht="12.75">
      <c r="F89" s="428"/>
      <c r="J89" s="428"/>
      <c r="K89" s="428"/>
      <c r="L89" s="428"/>
      <c r="M89" s="428"/>
      <c r="N89" s="428"/>
      <c r="O89" s="428"/>
      <c r="P89" s="428"/>
      <c r="Q89" s="428"/>
      <c r="S89" s="428"/>
      <c r="W89" s="428"/>
      <c r="X89" s="428"/>
    </row>
    <row r="90" spans="2:27" ht="12.75">
      <c r="F90" s="428"/>
      <c r="J90" s="428"/>
      <c r="K90" s="428"/>
      <c r="L90" s="428"/>
      <c r="M90" s="428"/>
      <c r="N90" s="428"/>
      <c r="O90" s="428"/>
      <c r="P90" s="428"/>
      <c r="Q90" s="428"/>
      <c r="S90" s="428"/>
      <c r="W90" s="428"/>
      <c r="X90" s="428"/>
    </row>
    <row r="91" spans="2:27" ht="12.75">
      <c r="F91" s="428"/>
      <c r="J91" s="428"/>
      <c r="K91" s="428"/>
      <c r="L91" s="428"/>
      <c r="M91" s="428"/>
      <c r="N91" s="428"/>
      <c r="O91" s="428"/>
      <c r="P91" s="428"/>
      <c r="Q91" s="428"/>
      <c r="S91" s="428"/>
      <c r="W91" s="428"/>
      <c r="X91" s="428"/>
    </row>
    <row r="92" spans="2:27" ht="12.75">
      <c r="F92" s="428"/>
      <c r="J92" s="428"/>
      <c r="K92" s="428"/>
      <c r="L92" s="428"/>
      <c r="M92" s="428"/>
      <c r="N92" s="428"/>
      <c r="O92" s="428"/>
      <c r="P92" s="428"/>
      <c r="Q92" s="428"/>
      <c r="S92" s="428"/>
      <c r="W92" s="428"/>
      <c r="X92" s="428"/>
    </row>
    <row r="93" spans="2:27" ht="12.75">
      <c r="F93" s="428"/>
      <c r="J93" s="428"/>
      <c r="K93" s="428"/>
      <c r="L93" s="428"/>
      <c r="M93" s="428"/>
      <c r="N93" s="428"/>
      <c r="O93" s="428"/>
      <c r="P93" s="428"/>
      <c r="Q93" s="428"/>
      <c r="S93" s="428"/>
      <c r="W93" s="428"/>
      <c r="X93" s="428"/>
    </row>
    <row r="94" spans="2:27" ht="12.75">
      <c r="F94" s="428"/>
      <c r="J94" s="428"/>
      <c r="K94" s="428"/>
      <c r="L94" s="428"/>
      <c r="M94" s="428"/>
      <c r="N94" s="428"/>
      <c r="O94" s="428"/>
      <c r="P94" s="428"/>
      <c r="Q94" s="428"/>
      <c r="S94" s="428"/>
      <c r="W94" s="428"/>
      <c r="X94" s="428"/>
    </row>
    <row r="95" spans="2:27" ht="12.75">
      <c r="F95" s="428"/>
      <c r="J95" s="428"/>
      <c r="K95" s="428"/>
      <c r="L95" s="428"/>
      <c r="M95" s="428"/>
      <c r="N95" s="428"/>
      <c r="O95" s="428"/>
      <c r="P95" s="428"/>
      <c r="Q95" s="428"/>
      <c r="S95" s="428"/>
      <c r="W95" s="428"/>
      <c r="X95" s="428"/>
    </row>
    <row r="96" spans="2:27" ht="12.75">
      <c r="F96" s="428"/>
      <c r="J96" s="428"/>
      <c r="K96" s="428"/>
      <c r="L96" s="428"/>
      <c r="M96" s="428"/>
      <c r="N96" s="428"/>
      <c r="O96" s="428"/>
      <c r="P96" s="428"/>
      <c r="Q96" s="428"/>
      <c r="S96" s="428"/>
      <c r="W96" s="428"/>
      <c r="X96" s="428"/>
    </row>
    <row r="97" spans="2:24" ht="12.75">
      <c r="F97" s="428"/>
      <c r="J97" s="428"/>
      <c r="K97" s="428"/>
      <c r="L97" s="428"/>
      <c r="M97" s="428"/>
      <c r="N97" s="428"/>
      <c r="O97" s="428"/>
      <c r="P97" s="428"/>
      <c r="Q97" s="428"/>
      <c r="S97" s="428"/>
      <c r="W97" s="428"/>
      <c r="X97" s="428"/>
    </row>
    <row r="98" spans="2:24" ht="12.75">
      <c r="F98" s="428"/>
      <c r="J98" s="428"/>
      <c r="K98" s="428"/>
      <c r="L98" s="428"/>
      <c r="M98" s="428"/>
      <c r="N98" s="428"/>
      <c r="O98" s="428"/>
      <c r="P98" s="428"/>
      <c r="Q98" s="428"/>
      <c r="S98" s="428"/>
      <c r="W98" s="428"/>
      <c r="X98" s="428"/>
    </row>
    <row r="99" spans="2:24" ht="12.75">
      <c r="F99" s="428"/>
      <c r="J99" s="428"/>
      <c r="K99" s="428"/>
      <c r="L99" s="428"/>
      <c r="M99" s="428"/>
      <c r="N99" s="428"/>
      <c r="O99" s="428"/>
      <c r="P99" s="428"/>
      <c r="Q99" s="428"/>
      <c r="S99" s="428"/>
      <c r="W99" s="428"/>
      <c r="X99" s="428"/>
    </row>
    <row r="100" spans="2:24" ht="12.75">
      <c r="F100" s="428"/>
      <c r="J100" s="428"/>
      <c r="K100" s="428"/>
      <c r="L100" s="428"/>
      <c r="M100" s="428"/>
      <c r="N100" s="428"/>
      <c r="O100" s="428"/>
      <c r="P100" s="428"/>
      <c r="Q100" s="428"/>
      <c r="S100" s="428"/>
      <c r="W100" s="428"/>
      <c r="X100" s="428"/>
    </row>
    <row r="101" spans="2:24" ht="12.75">
      <c r="F101" s="428"/>
      <c r="J101" s="428"/>
      <c r="K101" s="428"/>
      <c r="L101" s="428"/>
      <c r="M101" s="428"/>
      <c r="N101" s="428"/>
      <c r="O101" s="428"/>
      <c r="P101" s="428"/>
      <c r="Q101" s="428"/>
      <c r="S101" s="428"/>
      <c r="W101" s="428"/>
      <c r="X101" s="428"/>
    </row>
    <row r="102" spans="2:24" ht="12.75">
      <c r="F102" s="428"/>
      <c r="J102" s="428"/>
      <c r="K102" s="428"/>
      <c r="L102" s="428"/>
      <c r="M102" s="428"/>
      <c r="N102" s="428"/>
      <c r="O102" s="428"/>
      <c r="P102" s="428"/>
      <c r="Q102" s="428"/>
      <c r="S102" s="428"/>
      <c r="W102" s="428"/>
      <c r="X102" s="428"/>
    </row>
    <row r="103" spans="2:24" ht="12.75">
      <c r="B103" s="426"/>
      <c r="F103" s="428"/>
      <c r="G103" s="428"/>
      <c r="H103" s="428"/>
      <c r="I103" s="428"/>
      <c r="J103" s="428"/>
      <c r="K103" s="428"/>
      <c r="L103" s="428"/>
      <c r="M103" s="428"/>
      <c r="N103" s="428"/>
      <c r="O103" s="428"/>
      <c r="P103" s="428"/>
      <c r="Q103" s="428"/>
      <c r="S103" s="428"/>
      <c r="W103" s="428"/>
      <c r="X103" s="428"/>
    </row>
    <row r="104" spans="2:24" ht="12.75">
      <c r="B104" s="426"/>
      <c r="F104" s="428"/>
      <c r="G104" s="428"/>
      <c r="H104" s="428"/>
      <c r="I104" s="428"/>
      <c r="J104" s="428"/>
      <c r="K104" s="428"/>
      <c r="L104" s="428"/>
      <c r="M104" s="428"/>
      <c r="N104" s="428"/>
      <c r="O104" s="428"/>
      <c r="P104" s="428"/>
      <c r="Q104" s="428"/>
      <c r="S104" s="428"/>
      <c r="W104" s="428"/>
      <c r="X104" s="428"/>
    </row>
    <row r="105" spans="2:24" ht="12.75">
      <c r="B105" s="426"/>
      <c r="F105" s="428"/>
      <c r="G105" s="428"/>
      <c r="H105" s="428"/>
      <c r="I105" s="428"/>
      <c r="J105" s="428"/>
      <c r="K105" s="428"/>
      <c r="L105" s="428"/>
      <c r="M105" s="428"/>
      <c r="N105" s="428"/>
      <c r="O105" s="428"/>
      <c r="P105" s="428"/>
      <c r="Q105" s="428"/>
      <c r="S105" s="428"/>
      <c r="W105" s="428"/>
      <c r="X105" s="428"/>
    </row>
    <row r="106" spans="2:24" ht="12.75">
      <c r="B106" s="426"/>
      <c r="F106" s="428"/>
      <c r="G106" s="428"/>
      <c r="H106" s="428"/>
      <c r="I106" s="428"/>
      <c r="J106" s="428"/>
      <c r="K106" s="428"/>
      <c r="L106" s="428"/>
      <c r="M106" s="428"/>
      <c r="N106" s="428"/>
      <c r="O106" s="428"/>
      <c r="P106" s="428"/>
      <c r="Q106" s="428"/>
      <c r="S106" s="428"/>
      <c r="W106" s="428"/>
      <c r="X106" s="428"/>
    </row>
    <row r="107" spans="2:24" ht="12.75">
      <c r="B107" s="426"/>
      <c r="F107" s="428"/>
      <c r="G107" s="428"/>
      <c r="H107" s="428"/>
      <c r="I107" s="428"/>
      <c r="J107" s="428"/>
      <c r="K107" s="428"/>
      <c r="L107" s="428"/>
      <c r="M107" s="428"/>
      <c r="N107" s="428"/>
      <c r="O107" s="428"/>
      <c r="P107" s="428"/>
      <c r="Q107" s="428"/>
      <c r="S107" s="428"/>
      <c r="W107" s="428"/>
      <c r="X107" s="428"/>
    </row>
    <row r="108" spans="2:24" ht="12.75">
      <c r="B108" s="426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S108" s="428"/>
      <c r="W108" s="428"/>
      <c r="X108" s="428"/>
    </row>
    <row r="109" spans="2:24" ht="12.75">
      <c r="B109" s="426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S109" s="428"/>
      <c r="W109" s="428"/>
      <c r="X109" s="428"/>
    </row>
    <row r="110" spans="2:24" ht="12.75">
      <c r="B110" s="426"/>
      <c r="F110" s="428"/>
      <c r="G110" s="428"/>
      <c r="H110" s="428"/>
      <c r="I110" s="428"/>
      <c r="J110" s="428"/>
      <c r="K110" s="428"/>
      <c r="L110" s="428"/>
      <c r="M110" s="428"/>
      <c r="N110" s="428"/>
      <c r="O110" s="428"/>
      <c r="P110" s="428"/>
      <c r="Q110" s="428"/>
      <c r="S110" s="428"/>
      <c r="W110" s="428"/>
      <c r="X110" s="428"/>
    </row>
    <row r="111" spans="2:24" ht="12.75">
      <c r="B111" s="426"/>
      <c r="F111" s="428"/>
      <c r="G111" s="428"/>
      <c r="H111" s="428"/>
      <c r="I111" s="428"/>
      <c r="J111" s="428"/>
      <c r="K111" s="428"/>
      <c r="L111" s="428"/>
      <c r="M111" s="428"/>
      <c r="N111" s="428"/>
      <c r="O111" s="428"/>
      <c r="P111" s="428"/>
      <c r="Q111" s="428"/>
      <c r="S111" s="428"/>
      <c r="W111" s="428"/>
      <c r="X111" s="428"/>
    </row>
    <row r="112" spans="2:24" ht="12.75">
      <c r="B112" s="426"/>
      <c r="F112" s="428"/>
      <c r="G112" s="428"/>
      <c r="H112" s="428"/>
      <c r="I112" s="428"/>
      <c r="J112" s="428"/>
      <c r="K112" s="428"/>
      <c r="L112" s="428"/>
      <c r="M112" s="428"/>
      <c r="N112" s="428"/>
      <c r="O112" s="428"/>
      <c r="P112" s="428"/>
      <c r="Q112" s="428"/>
      <c r="S112" s="428"/>
      <c r="W112" s="428"/>
      <c r="X112" s="428"/>
    </row>
    <row r="113" spans="2:24" ht="12.75">
      <c r="B113" s="426"/>
      <c r="F113" s="428"/>
      <c r="G113" s="428"/>
      <c r="H113" s="428"/>
      <c r="I113" s="428"/>
      <c r="J113" s="428"/>
      <c r="K113" s="428"/>
      <c r="L113" s="428"/>
      <c r="M113" s="428"/>
      <c r="N113" s="428"/>
      <c r="O113" s="428"/>
      <c r="P113" s="428"/>
      <c r="Q113" s="428"/>
      <c r="S113" s="428"/>
      <c r="W113" s="428"/>
      <c r="X113" s="428"/>
    </row>
    <row r="114" spans="2:24" ht="12.75">
      <c r="B114" s="426"/>
      <c r="F114" s="428"/>
      <c r="G114" s="428"/>
      <c r="H114" s="428"/>
      <c r="I114" s="428"/>
      <c r="J114" s="428"/>
      <c r="K114" s="428"/>
      <c r="L114" s="428"/>
      <c r="M114" s="428"/>
      <c r="N114" s="428"/>
      <c r="O114" s="428"/>
      <c r="P114" s="428"/>
      <c r="Q114" s="428"/>
      <c r="S114" s="428"/>
      <c r="W114" s="428"/>
      <c r="X114" s="428"/>
    </row>
    <row r="115" spans="2:24" ht="12.75">
      <c r="B115" s="426"/>
      <c r="F115" s="428"/>
      <c r="G115" s="428"/>
      <c r="H115" s="428"/>
      <c r="I115" s="428"/>
      <c r="J115" s="428"/>
      <c r="K115" s="428"/>
      <c r="L115" s="428"/>
      <c r="M115" s="428"/>
      <c r="N115" s="428"/>
      <c r="O115" s="428"/>
      <c r="P115" s="428"/>
      <c r="Q115" s="428"/>
      <c r="S115" s="428"/>
      <c r="W115" s="428"/>
      <c r="X115" s="428"/>
    </row>
    <row r="116" spans="2:24" ht="12.75">
      <c r="B116" s="426"/>
      <c r="F116" s="428"/>
      <c r="G116" s="428"/>
      <c r="H116" s="428"/>
      <c r="I116" s="428"/>
      <c r="J116" s="428"/>
      <c r="K116" s="428"/>
      <c r="L116" s="428"/>
      <c r="M116" s="428"/>
      <c r="N116" s="428"/>
      <c r="O116" s="428"/>
      <c r="P116" s="428"/>
      <c r="Q116" s="428"/>
      <c r="S116" s="428"/>
      <c r="W116" s="428"/>
      <c r="X116" s="428"/>
    </row>
    <row r="117" spans="2:24" ht="12.75">
      <c r="B117" s="426"/>
      <c r="F117" s="428"/>
      <c r="G117" s="428"/>
      <c r="H117" s="428"/>
      <c r="I117" s="428"/>
      <c r="J117" s="428"/>
      <c r="K117" s="428"/>
      <c r="L117" s="428"/>
      <c r="M117" s="428"/>
      <c r="N117" s="428"/>
      <c r="O117" s="428"/>
      <c r="P117" s="428"/>
      <c r="Q117" s="428"/>
      <c r="S117" s="428"/>
      <c r="W117" s="428"/>
      <c r="X117" s="428"/>
    </row>
    <row r="118" spans="2:24" ht="12.75">
      <c r="B118" s="426"/>
      <c r="F118" s="428"/>
      <c r="G118" s="428"/>
      <c r="H118" s="428"/>
      <c r="I118" s="428"/>
      <c r="J118" s="428"/>
      <c r="K118" s="428"/>
      <c r="L118" s="428"/>
      <c r="M118" s="428"/>
      <c r="N118" s="428"/>
      <c r="O118" s="428"/>
      <c r="P118" s="428"/>
      <c r="Q118" s="428"/>
      <c r="S118" s="428"/>
      <c r="W118" s="428"/>
      <c r="X118" s="428"/>
    </row>
    <row r="119" spans="2:24" ht="12.75">
      <c r="B119" s="426"/>
      <c r="F119" s="428"/>
      <c r="G119" s="428"/>
      <c r="H119" s="428"/>
      <c r="I119" s="428"/>
      <c r="J119" s="428"/>
      <c r="K119" s="428"/>
      <c r="L119" s="428"/>
      <c r="M119" s="428"/>
      <c r="N119" s="428"/>
      <c r="O119" s="428"/>
      <c r="P119" s="428"/>
      <c r="Q119" s="428"/>
      <c r="S119" s="428"/>
      <c r="W119" s="428"/>
      <c r="X119" s="428"/>
    </row>
    <row r="120" spans="2:24" ht="12.75">
      <c r="B120" s="426"/>
      <c r="F120" s="428"/>
      <c r="G120" s="428"/>
      <c r="H120" s="428"/>
      <c r="I120" s="428"/>
      <c r="J120" s="428"/>
      <c r="K120" s="428"/>
      <c r="L120" s="428"/>
      <c r="M120" s="428"/>
      <c r="N120" s="428"/>
      <c r="O120" s="428"/>
      <c r="P120" s="428"/>
      <c r="Q120" s="428"/>
      <c r="S120" s="428"/>
      <c r="W120" s="428"/>
      <c r="X120" s="428"/>
    </row>
    <row r="121" spans="2:24" ht="12.75">
      <c r="B121" s="426"/>
      <c r="F121" s="428"/>
      <c r="G121" s="428"/>
      <c r="H121" s="428"/>
      <c r="I121" s="428"/>
      <c r="J121" s="428"/>
      <c r="K121" s="428"/>
      <c r="L121" s="428"/>
      <c r="M121" s="428"/>
      <c r="N121" s="428"/>
      <c r="O121" s="428"/>
      <c r="P121" s="428"/>
      <c r="Q121" s="428"/>
      <c r="S121" s="428"/>
      <c r="W121" s="428"/>
      <c r="X121" s="428"/>
    </row>
    <row r="122" spans="2:24" ht="12.75">
      <c r="B122" s="426"/>
      <c r="F122" s="428"/>
      <c r="G122" s="428"/>
      <c r="H122" s="428"/>
      <c r="I122" s="428"/>
      <c r="J122" s="428"/>
      <c r="K122" s="428"/>
      <c r="L122" s="428"/>
      <c r="M122" s="428"/>
      <c r="N122" s="428"/>
      <c r="O122" s="428"/>
      <c r="P122" s="428"/>
      <c r="Q122" s="428"/>
      <c r="S122" s="428"/>
      <c r="W122" s="428"/>
      <c r="X122" s="428"/>
    </row>
    <row r="123" spans="2:24" ht="12.75">
      <c r="B123" s="426"/>
      <c r="F123" s="428"/>
      <c r="G123" s="428"/>
      <c r="H123" s="428"/>
      <c r="I123" s="428"/>
      <c r="J123" s="428"/>
      <c r="K123" s="428"/>
      <c r="L123" s="428"/>
      <c r="M123" s="428"/>
      <c r="N123" s="428"/>
      <c r="O123" s="428"/>
      <c r="P123" s="428"/>
      <c r="Q123" s="428"/>
      <c r="S123" s="428"/>
      <c r="W123" s="428"/>
      <c r="X123" s="428"/>
    </row>
    <row r="124" spans="2:24" ht="12.75">
      <c r="B124" s="426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S124" s="428"/>
      <c r="W124" s="428"/>
      <c r="X124" s="428"/>
    </row>
    <row r="125" spans="2:24" ht="12.75">
      <c r="B125" s="426"/>
      <c r="F125" s="428"/>
      <c r="G125" s="428"/>
      <c r="H125" s="428"/>
      <c r="I125" s="428"/>
      <c r="J125" s="428"/>
      <c r="K125" s="428"/>
      <c r="L125" s="428"/>
      <c r="M125" s="428"/>
      <c r="N125" s="428"/>
      <c r="O125" s="428"/>
      <c r="P125" s="428"/>
      <c r="Q125" s="428"/>
      <c r="S125" s="428"/>
      <c r="W125" s="428"/>
      <c r="X125" s="428"/>
    </row>
    <row r="126" spans="2:24" ht="12.75">
      <c r="B126" s="426"/>
      <c r="F126" s="428"/>
      <c r="G126" s="428"/>
      <c r="H126" s="428"/>
      <c r="I126" s="428"/>
      <c r="J126" s="428"/>
      <c r="K126" s="428"/>
      <c r="L126" s="428"/>
      <c r="M126" s="428"/>
      <c r="N126" s="428"/>
      <c r="O126" s="428"/>
      <c r="P126" s="428"/>
      <c r="Q126" s="428"/>
      <c r="S126" s="428"/>
      <c r="W126" s="428"/>
      <c r="X126" s="428"/>
    </row>
    <row r="127" spans="2:24" ht="12.75">
      <c r="B127" s="426"/>
      <c r="F127" s="428"/>
      <c r="G127" s="428"/>
      <c r="H127" s="428"/>
      <c r="I127" s="428"/>
      <c r="J127" s="428"/>
      <c r="K127" s="428"/>
      <c r="L127" s="428"/>
      <c r="M127" s="428"/>
      <c r="N127" s="428"/>
      <c r="O127" s="428"/>
      <c r="P127" s="428"/>
      <c r="Q127" s="428"/>
      <c r="S127" s="428"/>
      <c r="W127" s="428"/>
      <c r="X127" s="428"/>
    </row>
    <row r="128" spans="2:24" ht="12.75">
      <c r="B128" s="426"/>
      <c r="F128" s="428"/>
      <c r="G128" s="428"/>
      <c r="H128" s="428"/>
      <c r="I128" s="428"/>
      <c r="J128" s="428"/>
      <c r="K128" s="428"/>
      <c r="L128" s="428"/>
      <c r="M128" s="428"/>
      <c r="N128" s="428"/>
      <c r="O128" s="428"/>
      <c r="P128" s="428"/>
      <c r="Q128" s="428"/>
      <c r="S128" s="428"/>
      <c r="W128" s="428"/>
      <c r="X128" s="428"/>
    </row>
    <row r="129" spans="2:24" ht="12.75">
      <c r="B129" s="426"/>
      <c r="F129" s="428"/>
      <c r="G129" s="428"/>
      <c r="H129" s="428"/>
      <c r="I129" s="428"/>
      <c r="J129" s="428"/>
      <c r="K129" s="428"/>
      <c r="L129" s="428"/>
      <c r="M129" s="428"/>
      <c r="N129" s="428"/>
      <c r="O129" s="428"/>
      <c r="P129" s="428"/>
      <c r="Q129" s="428"/>
      <c r="S129" s="428"/>
      <c r="W129" s="428"/>
      <c r="X129" s="428"/>
    </row>
    <row r="130" spans="2:24" ht="12.75">
      <c r="B130" s="426"/>
      <c r="F130" s="428"/>
      <c r="G130" s="428"/>
      <c r="H130" s="428"/>
      <c r="I130" s="428"/>
      <c r="J130" s="428"/>
      <c r="K130" s="428"/>
      <c r="L130" s="428"/>
      <c r="M130" s="428"/>
      <c r="N130" s="428"/>
      <c r="O130" s="428"/>
      <c r="P130" s="428"/>
      <c r="Q130" s="428"/>
      <c r="S130" s="428"/>
      <c r="W130" s="428"/>
      <c r="X130" s="428"/>
    </row>
    <row r="131" spans="2:24" ht="12.75">
      <c r="B131" s="426"/>
      <c r="F131" s="428"/>
      <c r="G131" s="428"/>
      <c r="H131" s="428"/>
      <c r="I131" s="428"/>
      <c r="J131" s="428"/>
      <c r="K131" s="428"/>
      <c r="L131" s="428"/>
      <c r="M131" s="428"/>
      <c r="N131" s="428"/>
      <c r="O131" s="428"/>
      <c r="P131" s="428"/>
      <c r="Q131" s="428"/>
      <c r="S131" s="428"/>
      <c r="W131" s="428"/>
      <c r="X131" s="428"/>
    </row>
    <row r="132" spans="2:24" ht="12.75">
      <c r="B132" s="426"/>
      <c r="F132" s="428"/>
      <c r="G132" s="428"/>
      <c r="H132" s="428"/>
      <c r="I132" s="428"/>
      <c r="J132" s="428"/>
      <c r="K132" s="428"/>
      <c r="L132" s="428"/>
      <c r="M132" s="428"/>
      <c r="N132" s="428"/>
      <c r="O132" s="428"/>
      <c r="P132" s="428"/>
      <c r="Q132" s="428"/>
      <c r="S132" s="428"/>
      <c r="W132" s="428"/>
      <c r="X132" s="428"/>
    </row>
    <row r="133" spans="2:24" ht="12.75">
      <c r="B133" s="426"/>
      <c r="F133" s="428"/>
      <c r="G133" s="428"/>
      <c r="H133" s="428"/>
      <c r="I133" s="428"/>
      <c r="J133" s="428"/>
      <c r="K133" s="428"/>
      <c r="L133" s="428"/>
      <c r="M133" s="428"/>
      <c r="N133" s="428"/>
      <c r="O133" s="428"/>
      <c r="P133" s="428"/>
      <c r="Q133" s="428"/>
      <c r="S133" s="428"/>
      <c r="W133" s="428"/>
      <c r="X133" s="428"/>
    </row>
    <row r="134" spans="2:24" ht="12.75">
      <c r="B134" s="426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S134" s="428"/>
      <c r="W134" s="428"/>
      <c r="X134" s="428"/>
    </row>
    <row r="135" spans="2:24" ht="12.75">
      <c r="B135" s="426"/>
      <c r="F135" s="428"/>
      <c r="G135" s="428"/>
      <c r="H135" s="428"/>
      <c r="I135" s="428"/>
      <c r="J135" s="428"/>
      <c r="K135" s="428"/>
      <c r="L135" s="428"/>
      <c r="M135" s="428"/>
      <c r="N135" s="428"/>
      <c r="O135" s="428"/>
      <c r="P135" s="428"/>
      <c r="Q135" s="428"/>
      <c r="S135" s="428"/>
      <c r="W135" s="428"/>
      <c r="X135" s="428"/>
    </row>
    <row r="136" spans="2:24" ht="12.75">
      <c r="B136" s="426"/>
      <c r="F136" s="428"/>
      <c r="G136" s="428"/>
      <c r="H136" s="428"/>
      <c r="I136" s="428"/>
      <c r="J136" s="428"/>
      <c r="K136" s="428"/>
      <c r="L136" s="428"/>
      <c r="M136" s="428"/>
      <c r="N136" s="428"/>
      <c r="O136" s="428"/>
      <c r="P136" s="428"/>
      <c r="Q136" s="428"/>
      <c r="S136" s="428"/>
      <c r="W136" s="428"/>
      <c r="X136" s="428"/>
    </row>
    <row r="137" spans="2:24" ht="12.75">
      <c r="B137" s="426"/>
      <c r="F137" s="428"/>
      <c r="G137" s="428"/>
      <c r="H137" s="428"/>
      <c r="I137" s="428"/>
      <c r="J137" s="428"/>
      <c r="K137" s="428"/>
      <c r="L137" s="428"/>
      <c r="M137" s="428"/>
      <c r="N137" s="428"/>
      <c r="O137" s="428"/>
      <c r="P137" s="428"/>
      <c r="Q137" s="428"/>
      <c r="S137" s="428"/>
      <c r="W137" s="428"/>
      <c r="X137" s="428"/>
    </row>
    <row r="138" spans="2:24" ht="12.75">
      <c r="B138" s="426"/>
      <c r="F138" s="428"/>
      <c r="G138" s="428"/>
      <c r="H138" s="428"/>
      <c r="I138" s="428"/>
      <c r="J138" s="428"/>
      <c r="K138" s="428"/>
      <c r="L138" s="428"/>
      <c r="M138" s="428"/>
      <c r="N138" s="428"/>
      <c r="O138" s="428"/>
      <c r="P138" s="428"/>
      <c r="Q138" s="428"/>
      <c r="S138" s="428"/>
      <c r="W138" s="428"/>
      <c r="X138" s="428"/>
    </row>
    <row r="139" spans="2:24" ht="12.75">
      <c r="B139" s="426"/>
      <c r="F139" s="428"/>
      <c r="G139" s="428"/>
      <c r="H139" s="428"/>
      <c r="I139" s="428"/>
      <c r="J139" s="428"/>
      <c r="K139" s="428"/>
      <c r="L139" s="428"/>
      <c r="M139" s="428"/>
      <c r="N139" s="428"/>
      <c r="O139" s="428"/>
      <c r="P139" s="428"/>
      <c r="Q139" s="428"/>
      <c r="S139" s="428"/>
      <c r="W139" s="428"/>
      <c r="X139" s="428"/>
    </row>
    <row r="140" spans="2:24" ht="12.75">
      <c r="B140" s="426"/>
      <c r="F140" s="428"/>
      <c r="G140" s="428"/>
      <c r="H140" s="428"/>
      <c r="I140" s="428"/>
      <c r="J140" s="428"/>
      <c r="K140" s="428"/>
      <c r="L140" s="428"/>
      <c r="M140" s="428"/>
      <c r="N140" s="428"/>
      <c r="O140" s="428"/>
      <c r="P140" s="428"/>
      <c r="Q140" s="428"/>
      <c r="S140" s="428"/>
      <c r="W140" s="428"/>
      <c r="X140" s="428"/>
    </row>
    <row r="141" spans="2:24" ht="12.75">
      <c r="B141" s="426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S141" s="428"/>
      <c r="W141" s="428"/>
      <c r="X141" s="428"/>
    </row>
    <row r="142" spans="2:24" ht="12.75">
      <c r="B142" s="426"/>
      <c r="F142" s="428"/>
      <c r="G142" s="428"/>
      <c r="H142" s="428"/>
      <c r="I142" s="428"/>
      <c r="J142" s="428"/>
      <c r="K142" s="428"/>
      <c r="L142" s="428"/>
      <c r="M142" s="428"/>
      <c r="N142" s="428"/>
      <c r="O142" s="428"/>
      <c r="P142" s="428"/>
      <c r="Q142" s="428"/>
      <c r="S142" s="428"/>
      <c r="W142" s="428"/>
      <c r="X142" s="428"/>
    </row>
    <row r="143" spans="2:24" ht="12.75">
      <c r="B143" s="426"/>
      <c r="F143" s="428"/>
      <c r="G143" s="428"/>
      <c r="H143" s="428"/>
      <c r="I143" s="428"/>
      <c r="J143" s="428"/>
      <c r="K143" s="428"/>
      <c r="L143" s="428"/>
      <c r="M143" s="428"/>
      <c r="N143" s="428"/>
      <c r="O143" s="428"/>
      <c r="P143" s="428"/>
      <c r="Q143" s="428"/>
      <c r="S143" s="428"/>
      <c r="W143" s="428"/>
      <c r="X143" s="428"/>
    </row>
    <row r="144" spans="2:24" ht="12.75">
      <c r="B144" s="426"/>
      <c r="F144" s="428"/>
      <c r="G144" s="428"/>
      <c r="H144" s="428"/>
      <c r="I144" s="428"/>
      <c r="J144" s="428"/>
      <c r="K144" s="428"/>
      <c r="L144" s="428"/>
      <c r="M144" s="428"/>
      <c r="N144" s="428"/>
      <c r="O144" s="428"/>
      <c r="P144" s="428"/>
      <c r="Q144" s="428"/>
      <c r="S144" s="428"/>
      <c r="W144" s="428"/>
      <c r="X144" s="428"/>
    </row>
    <row r="145" spans="2:24" ht="12.75">
      <c r="B145" s="426"/>
      <c r="F145" s="428"/>
      <c r="G145" s="428"/>
      <c r="H145" s="428"/>
      <c r="I145" s="428"/>
      <c r="J145" s="428"/>
      <c r="K145" s="428"/>
      <c r="L145" s="428"/>
      <c r="M145" s="428"/>
      <c r="N145" s="428"/>
      <c r="O145" s="428"/>
      <c r="P145" s="428"/>
      <c r="Q145" s="428"/>
      <c r="S145" s="428"/>
      <c r="W145" s="428"/>
      <c r="X145" s="428"/>
    </row>
    <row r="146" spans="2:24" ht="12.75">
      <c r="B146" s="426"/>
      <c r="F146" s="428"/>
      <c r="G146" s="428"/>
      <c r="H146" s="428"/>
      <c r="I146" s="428"/>
      <c r="J146" s="428"/>
      <c r="K146" s="428"/>
      <c r="L146" s="428"/>
      <c r="M146" s="428"/>
      <c r="N146" s="428"/>
      <c r="O146" s="428"/>
      <c r="P146" s="428"/>
      <c r="Q146" s="428"/>
      <c r="S146" s="428"/>
      <c r="W146" s="428"/>
      <c r="X146" s="428"/>
    </row>
    <row r="147" spans="2:24" ht="12.75">
      <c r="B147" s="426"/>
      <c r="F147" s="428"/>
      <c r="G147" s="428"/>
      <c r="H147" s="428"/>
      <c r="I147" s="428"/>
      <c r="J147" s="428"/>
      <c r="K147" s="428"/>
      <c r="L147" s="428"/>
      <c r="M147" s="428"/>
      <c r="N147" s="428"/>
      <c r="O147" s="428"/>
      <c r="P147" s="428"/>
      <c r="Q147" s="428"/>
      <c r="S147" s="428"/>
      <c r="W147" s="428"/>
      <c r="X147" s="428"/>
    </row>
    <row r="148" spans="2:24" ht="12.75">
      <c r="B148" s="426"/>
      <c r="F148" s="428"/>
      <c r="G148" s="428"/>
      <c r="H148" s="428"/>
      <c r="I148" s="428"/>
      <c r="J148" s="428"/>
      <c r="K148" s="428"/>
      <c r="L148" s="428"/>
      <c r="M148" s="428"/>
      <c r="N148" s="428"/>
      <c r="O148" s="428"/>
      <c r="P148" s="428"/>
      <c r="Q148" s="428"/>
      <c r="S148" s="428"/>
      <c r="W148" s="428"/>
      <c r="X148" s="428"/>
    </row>
    <row r="149" spans="2:24" ht="12.75">
      <c r="B149" s="426"/>
      <c r="F149" s="428"/>
      <c r="G149" s="428"/>
      <c r="H149" s="428"/>
      <c r="I149" s="428"/>
      <c r="J149" s="428"/>
      <c r="K149" s="428"/>
      <c r="L149" s="428"/>
      <c r="M149" s="428"/>
      <c r="N149" s="428"/>
      <c r="O149" s="428"/>
      <c r="P149" s="428"/>
      <c r="Q149" s="428"/>
      <c r="S149" s="428"/>
      <c r="W149" s="428"/>
      <c r="X149" s="428"/>
    </row>
    <row r="150" spans="2:24" ht="12.75">
      <c r="B150" s="426"/>
      <c r="F150" s="428"/>
      <c r="G150" s="428"/>
      <c r="H150" s="428"/>
      <c r="I150" s="428"/>
      <c r="J150" s="428"/>
      <c r="K150" s="428"/>
      <c r="L150" s="428"/>
      <c r="M150" s="428"/>
      <c r="N150" s="428"/>
      <c r="O150" s="428"/>
      <c r="P150" s="428"/>
      <c r="Q150" s="428"/>
      <c r="S150" s="428"/>
      <c r="W150" s="428"/>
      <c r="X150" s="428"/>
    </row>
    <row r="151" spans="2:24" ht="12.75">
      <c r="B151" s="426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S151" s="428"/>
      <c r="W151" s="428"/>
      <c r="X151" s="428"/>
    </row>
    <row r="152" spans="2:24" ht="12.75">
      <c r="B152" s="426"/>
      <c r="F152" s="428"/>
      <c r="G152" s="428"/>
      <c r="H152" s="428"/>
      <c r="I152" s="428"/>
      <c r="J152" s="428"/>
      <c r="K152" s="428"/>
      <c r="L152" s="428"/>
      <c r="M152" s="428"/>
      <c r="N152" s="428"/>
      <c r="O152" s="428"/>
      <c r="P152" s="428"/>
      <c r="Q152" s="428"/>
      <c r="S152" s="428"/>
      <c r="W152" s="428"/>
      <c r="X152" s="428"/>
    </row>
    <row r="153" spans="2:24" ht="12.75">
      <c r="B153" s="426"/>
      <c r="F153" s="428"/>
      <c r="G153" s="428"/>
      <c r="H153" s="428"/>
      <c r="I153" s="428"/>
      <c r="J153" s="428"/>
      <c r="K153" s="428"/>
      <c r="L153" s="428"/>
      <c r="M153" s="428"/>
      <c r="N153" s="428"/>
      <c r="O153" s="428"/>
      <c r="P153" s="428"/>
      <c r="Q153" s="428"/>
      <c r="S153" s="428"/>
      <c r="W153" s="428"/>
      <c r="X153" s="428"/>
    </row>
    <row r="154" spans="2:24" ht="12.75">
      <c r="B154" s="426"/>
      <c r="F154" s="428"/>
      <c r="G154" s="428"/>
      <c r="H154" s="428"/>
      <c r="I154" s="428"/>
      <c r="J154" s="428"/>
      <c r="K154" s="428"/>
      <c r="L154" s="428"/>
      <c r="M154" s="428"/>
      <c r="N154" s="428"/>
      <c r="O154" s="428"/>
      <c r="P154" s="428"/>
      <c r="Q154" s="428"/>
      <c r="S154" s="428"/>
      <c r="W154" s="428"/>
      <c r="X154" s="428"/>
    </row>
    <row r="155" spans="2:24" ht="12.75">
      <c r="B155" s="426"/>
      <c r="F155" s="428"/>
      <c r="G155" s="428"/>
      <c r="H155" s="428"/>
      <c r="I155" s="428"/>
      <c r="J155" s="428"/>
      <c r="K155" s="428"/>
      <c r="L155" s="428"/>
      <c r="M155" s="428"/>
      <c r="N155" s="428"/>
      <c r="O155" s="428"/>
      <c r="P155" s="428"/>
      <c r="Q155" s="428"/>
      <c r="S155" s="428"/>
      <c r="W155" s="428"/>
      <c r="X155" s="428"/>
    </row>
    <row r="156" spans="2:24" ht="12.75">
      <c r="B156" s="426"/>
      <c r="F156" s="428"/>
      <c r="G156" s="428"/>
      <c r="H156" s="428"/>
      <c r="I156" s="428"/>
      <c r="J156" s="428"/>
      <c r="K156" s="428"/>
      <c r="L156" s="428"/>
      <c r="M156" s="428"/>
      <c r="N156" s="428"/>
      <c r="O156" s="428"/>
      <c r="P156" s="428"/>
      <c r="Q156" s="428"/>
      <c r="S156" s="428"/>
      <c r="W156" s="428"/>
      <c r="X156" s="428"/>
    </row>
    <row r="157" spans="2:24" ht="12.75">
      <c r="B157" s="426"/>
      <c r="F157" s="428"/>
      <c r="G157" s="428"/>
      <c r="H157" s="428"/>
      <c r="I157" s="428"/>
      <c r="J157" s="428"/>
      <c r="K157" s="428"/>
      <c r="L157" s="428"/>
      <c r="M157" s="428"/>
      <c r="N157" s="428"/>
      <c r="O157" s="428"/>
      <c r="P157" s="428"/>
      <c r="Q157" s="428"/>
      <c r="S157" s="428"/>
      <c r="W157" s="428"/>
      <c r="X157" s="428"/>
    </row>
    <row r="158" spans="2:24" ht="12.75">
      <c r="B158" s="426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S158" s="428"/>
      <c r="W158" s="428"/>
      <c r="X158" s="428"/>
    </row>
    <row r="159" spans="2:24" ht="12.75">
      <c r="B159" s="426"/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  <c r="P159" s="428"/>
      <c r="Q159" s="428"/>
      <c r="S159" s="428"/>
      <c r="W159" s="428"/>
      <c r="X159" s="428"/>
    </row>
    <row r="160" spans="2:24" ht="12.75">
      <c r="B160" s="426"/>
      <c r="F160" s="428"/>
      <c r="G160" s="428"/>
      <c r="H160" s="428"/>
      <c r="I160" s="428"/>
      <c r="J160" s="428"/>
      <c r="K160" s="428"/>
      <c r="L160" s="428"/>
      <c r="M160" s="428"/>
      <c r="N160" s="428"/>
      <c r="O160" s="428"/>
      <c r="P160" s="428"/>
      <c r="Q160" s="428"/>
      <c r="S160" s="428"/>
      <c r="W160" s="428"/>
      <c r="X160" s="428"/>
    </row>
    <row r="161" spans="2:24" ht="12.75">
      <c r="B161" s="426"/>
      <c r="F161" s="428"/>
      <c r="G161" s="428"/>
      <c r="H161" s="428"/>
      <c r="I161" s="428"/>
      <c r="J161" s="428"/>
      <c r="K161" s="428"/>
      <c r="L161" s="428"/>
      <c r="M161" s="428"/>
      <c r="N161" s="428"/>
      <c r="O161" s="428"/>
      <c r="P161" s="428"/>
      <c r="Q161" s="428"/>
      <c r="S161" s="428"/>
      <c r="W161" s="428"/>
      <c r="X161" s="428"/>
    </row>
    <row r="162" spans="2:24" ht="12.75">
      <c r="B162" s="426"/>
      <c r="F162" s="428"/>
      <c r="G162" s="428"/>
      <c r="H162" s="428"/>
      <c r="I162" s="428"/>
      <c r="J162" s="428"/>
      <c r="K162" s="428"/>
      <c r="L162" s="428"/>
      <c r="M162" s="428"/>
      <c r="N162" s="428"/>
      <c r="O162" s="428"/>
      <c r="P162" s="428"/>
      <c r="Q162" s="428"/>
      <c r="S162" s="428"/>
      <c r="W162" s="428"/>
      <c r="X162" s="428"/>
    </row>
    <row r="163" spans="2:24" ht="12.75">
      <c r="B163" s="426"/>
      <c r="F163" s="428"/>
      <c r="G163" s="428"/>
      <c r="H163" s="428"/>
      <c r="I163" s="428"/>
      <c r="J163" s="428"/>
      <c r="K163" s="428"/>
      <c r="L163" s="428"/>
      <c r="M163" s="428"/>
      <c r="N163" s="428"/>
      <c r="O163" s="428"/>
      <c r="P163" s="428"/>
      <c r="Q163" s="428"/>
      <c r="S163" s="428"/>
      <c r="W163" s="428"/>
      <c r="X163" s="428"/>
    </row>
    <row r="164" spans="2:24" ht="12.75">
      <c r="B164" s="426"/>
      <c r="F164" s="428"/>
      <c r="G164" s="428"/>
      <c r="H164" s="428"/>
      <c r="I164" s="428"/>
      <c r="J164" s="428"/>
      <c r="K164" s="428"/>
      <c r="L164" s="428"/>
      <c r="M164" s="428"/>
      <c r="N164" s="428"/>
      <c r="O164" s="428"/>
      <c r="P164" s="428"/>
      <c r="Q164" s="428"/>
      <c r="S164" s="428"/>
      <c r="W164" s="428"/>
      <c r="X164" s="428"/>
    </row>
    <row r="165" spans="2:24" ht="12.75">
      <c r="B165" s="426"/>
      <c r="F165" s="428"/>
      <c r="G165" s="428"/>
      <c r="H165" s="428"/>
      <c r="I165" s="428"/>
      <c r="J165" s="428"/>
      <c r="K165" s="428"/>
      <c r="L165" s="428"/>
      <c r="M165" s="428"/>
      <c r="N165" s="428"/>
      <c r="O165" s="428"/>
      <c r="P165" s="428"/>
      <c r="Q165" s="428"/>
      <c r="S165" s="428"/>
      <c r="W165" s="428"/>
      <c r="X165" s="428"/>
    </row>
    <row r="166" spans="2:24" ht="12.75">
      <c r="B166" s="426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S166" s="428"/>
      <c r="W166" s="428"/>
      <c r="X166" s="428"/>
    </row>
    <row r="167" spans="2:24" ht="12.75">
      <c r="B167" s="426"/>
      <c r="F167" s="428"/>
      <c r="G167" s="428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S167" s="428"/>
      <c r="W167" s="428"/>
      <c r="X167" s="428"/>
    </row>
    <row r="168" spans="2:24" ht="12.75">
      <c r="B168" s="426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S168" s="428"/>
      <c r="W168" s="428"/>
      <c r="X168" s="428"/>
    </row>
    <row r="169" spans="2:24" ht="12.75">
      <c r="B169" s="426"/>
      <c r="F169" s="428"/>
      <c r="G169" s="428"/>
      <c r="H169" s="428"/>
      <c r="I169" s="428"/>
      <c r="J169" s="428"/>
      <c r="K169" s="428"/>
      <c r="L169" s="428"/>
      <c r="M169" s="428"/>
      <c r="N169" s="428"/>
      <c r="O169" s="428"/>
      <c r="P169" s="428"/>
      <c r="Q169" s="428"/>
      <c r="S169" s="428"/>
      <c r="W169" s="428"/>
      <c r="X169" s="428"/>
    </row>
    <row r="170" spans="2:24" ht="12.75">
      <c r="B170" s="426"/>
      <c r="F170" s="428"/>
      <c r="G170" s="428"/>
      <c r="H170" s="428"/>
      <c r="I170" s="428"/>
      <c r="J170" s="428"/>
      <c r="K170" s="428"/>
      <c r="L170" s="428"/>
      <c r="M170" s="428"/>
      <c r="N170" s="428"/>
      <c r="O170" s="428"/>
      <c r="P170" s="428"/>
      <c r="Q170" s="428"/>
      <c r="S170" s="428"/>
      <c r="W170" s="428"/>
      <c r="X170" s="428"/>
    </row>
    <row r="171" spans="2:24" ht="12.75">
      <c r="B171" s="426"/>
      <c r="F171" s="428"/>
      <c r="G171" s="428"/>
      <c r="H171" s="428"/>
      <c r="I171" s="428"/>
      <c r="J171" s="428"/>
      <c r="K171" s="428"/>
      <c r="L171" s="428"/>
      <c r="M171" s="428"/>
      <c r="N171" s="428"/>
      <c r="O171" s="428"/>
      <c r="P171" s="428"/>
      <c r="Q171" s="428"/>
      <c r="S171" s="428"/>
      <c r="W171" s="428"/>
      <c r="X171" s="428"/>
    </row>
    <row r="172" spans="2:24" ht="12.75">
      <c r="B172" s="426"/>
      <c r="F172" s="428"/>
      <c r="G172" s="428"/>
      <c r="H172" s="428"/>
      <c r="I172" s="428"/>
      <c r="J172" s="428"/>
      <c r="K172" s="428"/>
      <c r="L172" s="428"/>
      <c r="M172" s="428"/>
      <c r="N172" s="428"/>
      <c r="O172" s="428"/>
      <c r="P172" s="428"/>
      <c r="Q172" s="428"/>
      <c r="S172" s="428"/>
      <c r="W172" s="428"/>
      <c r="X172" s="428"/>
    </row>
    <row r="173" spans="2:24" ht="12.75">
      <c r="B173" s="426"/>
      <c r="F173" s="428"/>
      <c r="G173" s="428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S173" s="428"/>
      <c r="W173" s="428"/>
      <c r="X173" s="428"/>
    </row>
    <row r="174" spans="2:24" ht="12.75">
      <c r="B174" s="426"/>
      <c r="F174" s="428"/>
      <c r="G174" s="428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S174" s="428"/>
      <c r="W174" s="428"/>
      <c r="X174" s="428"/>
    </row>
    <row r="175" spans="2:24" ht="12.75">
      <c r="B175" s="426"/>
      <c r="F175" s="428"/>
      <c r="G175" s="428"/>
      <c r="H175" s="428"/>
      <c r="I175" s="428"/>
      <c r="J175" s="428"/>
      <c r="K175" s="428"/>
      <c r="L175" s="428"/>
      <c r="M175" s="428"/>
      <c r="N175" s="428"/>
      <c r="O175" s="428"/>
      <c r="P175" s="428"/>
      <c r="Q175" s="428"/>
      <c r="S175" s="428"/>
      <c r="W175" s="428"/>
      <c r="X175" s="428"/>
    </row>
    <row r="176" spans="2:24" ht="12.75">
      <c r="B176" s="426"/>
      <c r="F176" s="428"/>
      <c r="G176" s="428"/>
      <c r="H176" s="428"/>
      <c r="I176" s="428"/>
      <c r="J176" s="428"/>
      <c r="K176" s="428"/>
      <c r="L176" s="428"/>
      <c r="M176" s="428"/>
      <c r="N176" s="428"/>
      <c r="O176" s="428"/>
      <c r="P176" s="428"/>
      <c r="Q176" s="428"/>
      <c r="S176" s="428"/>
      <c r="W176" s="428"/>
      <c r="X176" s="428"/>
    </row>
    <row r="177" spans="2:24" ht="12.75">
      <c r="B177" s="426"/>
      <c r="F177" s="428"/>
      <c r="G177" s="428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S177" s="428"/>
      <c r="W177" s="428"/>
      <c r="X177" s="428"/>
    </row>
    <row r="178" spans="2:24" ht="12.75">
      <c r="B178" s="426"/>
      <c r="F178" s="428"/>
      <c r="G178" s="428"/>
      <c r="H178" s="428"/>
      <c r="I178" s="428"/>
      <c r="J178" s="428"/>
      <c r="K178" s="428"/>
      <c r="L178" s="428"/>
      <c r="M178" s="428"/>
      <c r="N178" s="428"/>
      <c r="O178" s="428"/>
      <c r="P178" s="428"/>
      <c r="Q178" s="428"/>
      <c r="S178" s="428"/>
      <c r="W178" s="428"/>
      <c r="X178" s="428"/>
    </row>
    <row r="179" spans="2:24" ht="12.75">
      <c r="B179" s="426"/>
      <c r="F179" s="428"/>
      <c r="G179" s="428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S179" s="428"/>
      <c r="W179" s="428"/>
      <c r="X179" s="428"/>
    </row>
    <row r="180" spans="2:24" ht="12.75">
      <c r="B180" s="426"/>
      <c r="F180" s="428"/>
      <c r="G180" s="428"/>
      <c r="H180" s="428"/>
      <c r="I180" s="428"/>
      <c r="J180" s="428"/>
      <c r="K180" s="428"/>
      <c r="L180" s="428"/>
      <c r="M180" s="428"/>
      <c r="N180" s="428"/>
      <c r="O180" s="428"/>
      <c r="P180" s="428"/>
      <c r="Q180" s="428"/>
      <c r="S180" s="428"/>
      <c r="W180" s="428"/>
      <c r="X180" s="428"/>
    </row>
    <row r="181" spans="2:24" ht="12.75">
      <c r="B181" s="426"/>
      <c r="F181" s="428"/>
      <c r="G181" s="428"/>
      <c r="H181" s="428"/>
      <c r="I181" s="428"/>
      <c r="J181" s="428"/>
      <c r="K181" s="428"/>
      <c r="L181" s="428"/>
      <c r="M181" s="428"/>
      <c r="N181" s="428"/>
      <c r="O181" s="428"/>
      <c r="P181" s="428"/>
      <c r="Q181" s="428"/>
      <c r="S181" s="428"/>
      <c r="W181" s="428"/>
      <c r="X181" s="428"/>
    </row>
    <row r="182" spans="2:24" ht="12.75">
      <c r="B182" s="426"/>
      <c r="F182" s="428"/>
      <c r="G182" s="428"/>
      <c r="H182" s="428"/>
      <c r="I182" s="428"/>
      <c r="J182" s="428"/>
      <c r="K182" s="428"/>
      <c r="L182" s="428"/>
      <c r="M182" s="428"/>
      <c r="N182" s="428"/>
      <c r="O182" s="428"/>
      <c r="P182" s="428"/>
      <c r="Q182" s="428"/>
      <c r="S182" s="428"/>
      <c r="W182" s="428"/>
      <c r="X182" s="428"/>
    </row>
    <row r="183" spans="2:24" ht="12.75">
      <c r="B183" s="426"/>
      <c r="F183" s="428"/>
      <c r="G183" s="428"/>
      <c r="H183" s="428"/>
      <c r="I183" s="428"/>
      <c r="J183" s="428"/>
      <c r="K183" s="428"/>
      <c r="L183" s="428"/>
      <c r="M183" s="428"/>
      <c r="N183" s="428"/>
      <c r="O183" s="428"/>
      <c r="P183" s="428"/>
      <c r="Q183" s="428"/>
      <c r="S183" s="428"/>
      <c r="W183" s="428"/>
      <c r="X183" s="428"/>
    </row>
    <row r="184" spans="2:24" ht="12.75">
      <c r="B184" s="426"/>
      <c r="F184" s="428"/>
      <c r="G184" s="428"/>
      <c r="H184" s="428"/>
      <c r="I184" s="428"/>
      <c r="J184" s="428"/>
      <c r="K184" s="428"/>
      <c r="L184" s="428"/>
      <c r="M184" s="428"/>
      <c r="N184" s="428"/>
      <c r="O184" s="428"/>
      <c r="P184" s="428"/>
      <c r="Q184" s="428"/>
      <c r="S184" s="428"/>
      <c r="W184" s="428"/>
      <c r="X184" s="428"/>
    </row>
    <row r="185" spans="2:24" ht="12.75">
      <c r="B185" s="426"/>
      <c r="F185" s="428"/>
      <c r="G185" s="428"/>
      <c r="H185" s="428"/>
      <c r="I185" s="428"/>
      <c r="J185" s="428"/>
      <c r="K185" s="428"/>
      <c r="L185" s="428"/>
      <c r="M185" s="428"/>
      <c r="N185" s="428"/>
      <c r="O185" s="428"/>
      <c r="P185" s="428"/>
      <c r="Q185" s="428"/>
      <c r="S185" s="428"/>
      <c r="W185" s="428"/>
      <c r="X185" s="428"/>
    </row>
    <row r="186" spans="2:24" ht="12.75">
      <c r="B186" s="426"/>
      <c r="F186" s="428"/>
      <c r="G186" s="428"/>
      <c r="H186" s="428"/>
      <c r="I186" s="428"/>
      <c r="J186" s="428"/>
      <c r="K186" s="428"/>
      <c r="L186" s="428"/>
      <c r="M186" s="428"/>
      <c r="N186" s="428"/>
      <c r="O186" s="428"/>
      <c r="P186" s="428"/>
      <c r="Q186" s="428"/>
      <c r="S186" s="428"/>
      <c r="W186" s="428"/>
      <c r="X186" s="428"/>
    </row>
    <row r="187" spans="2:24" ht="12.75">
      <c r="B187" s="426"/>
      <c r="F187" s="428"/>
      <c r="G187" s="428"/>
      <c r="H187" s="428"/>
      <c r="I187" s="428"/>
      <c r="J187" s="428"/>
      <c r="K187" s="428"/>
      <c r="L187" s="428"/>
      <c r="M187" s="428"/>
      <c r="N187" s="428"/>
      <c r="O187" s="428"/>
      <c r="P187" s="428"/>
      <c r="Q187" s="428"/>
      <c r="S187" s="428"/>
      <c r="W187" s="428"/>
      <c r="X187" s="428"/>
    </row>
    <row r="188" spans="2:24" ht="12.75">
      <c r="B188" s="426"/>
      <c r="F188" s="428"/>
      <c r="G188" s="428"/>
      <c r="H188" s="428"/>
      <c r="I188" s="428"/>
      <c r="J188" s="428"/>
      <c r="K188" s="428"/>
      <c r="L188" s="428"/>
      <c r="M188" s="428"/>
      <c r="N188" s="428"/>
      <c r="O188" s="428"/>
      <c r="P188" s="428"/>
      <c r="Q188" s="428"/>
      <c r="S188" s="428"/>
      <c r="W188" s="428"/>
      <c r="X188" s="428"/>
    </row>
    <row r="189" spans="2:24" ht="12.75">
      <c r="B189" s="426"/>
      <c r="F189" s="428"/>
      <c r="G189" s="428"/>
      <c r="H189" s="428"/>
      <c r="I189" s="428"/>
      <c r="J189" s="428"/>
      <c r="K189" s="428"/>
      <c r="L189" s="428"/>
      <c r="M189" s="428"/>
      <c r="N189" s="428"/>
      <c r="O189" s="428"/>
      <c r="P189" s="428"/>
      <c r="Q189" s="428"/>
      <c r="S189" s="428"/>
      <c r="W189" s="428"/>
      <c r="X189" s="428"/>
    </row>
    <row r="190" spans="2:24" ht="12.75">
      <c r="B190" s="426"/>
      <c r="F190" s="428"/>
      <c r="G190" s="428"/>
      <c r="H190" s="428"/>
      <c r="I190" s="428"/>
      <c r="J190" s="428"/>
      <c r="K190" s="428"/>
      <c r="L190" s="428"/>
      <c r="M190" s="428"/>
      <c r="N190" s="428"/>
      <c r="O190" s="428"/>
      <c r="P190" s="428"/>
      <c r="Q190" s="428"/>
      <c r="S190" s="428"/>
      <c r="W190" s="428"/>
      <c r="X190" s="428"/>
    </row>
    <row r="191" spans="2:24" ht="12.75">
      <c r="B191" s="426"/>
      <c r="F191" s="428"/>
      <c r="G191" s="428"/>
      <c r="H191" s="428"/>
      <c r="I191" s="428"/>
      <c r="J191" s="428"/>
      <c r="K191" s="428"/>
      <c r="L191" s="428"/>
      <c r="M191" s="428"/>
      <c r="N191" s="428"/>
      <c r="O191" s="428"/>
      <c r="P191" s="428"/>
      <c r="Q191" s="428"/>
      <c r="S191" s="428"/>
      <c r="W191" s="428"/>
      <c r="X191" s="428"/>
    </row>
    <row r="192" spans="2:24" ht="12.75">
      <c r="B192" s="426"/>
      <c r="F192" s="428"/>
      <c r="G192" s="428"/>
      <c r="H192" s="428"/>
      <c r="I192" s="428"/>
      <c r="J192" s="428"/>
      <c r="K192" s="428"/>
      <c r="L192" s="428"/>
      <c r="M192" s="428"/>
      <c r="N192" s="428"/>
      <c r="O192" s="428"/>
      <c r="P192" s="428"/>
      <c r="Q192" s="428"/>
      <c r="S192" s="428"/>
      <c r="W192" s="428"/>
      <c r="X192" s="428"/>
    </row>
    <row r="193" spans="2:24" ht="12.75">
      <c r="B193" s="426"/>
      <c r="F193" s="428"/>
      <c r="G193" s="428"/>
      <c r="H193" s="428"/>
      <c r="I193" s="428"/>
      <c r="J193" s="428"/>
      <c r="K193" s="428"/>
      <c r="L193" s="428"/>
      <c r="M193" s="428"/>
      <c r="N193" s="428"/>
      <c r="O193" s="428"/>
      <c r="P193" s="428"/>
      <c r="Q193" s="428"/>
      <c r="S193" s="428"/>
      <c r="W193" s="428"/>
      <c r="X193" s="428"/>
    </row>
    <row r="194" spans="2:24" ht="12.75">
      <c r="B194" s="426"/>
      <c r="F194" s="428"/>
      <c r="G194" s="428"/>
      <c r="H194" s="428"/>
      <c r="I194" s="428"/>
      <c r="J194" s="428"/>
      <c r="K194" s="428"/>
      <c r="L194" s="428"/>
      <c r="M194" s="428"/>
      <c r="N194" s="428"/>
      <c r="O194" s="428"/>
      <c r="P194" s="428"/>
      <c r="Q194" s="428"/>
      <c r="S194" s="428"/>
      <c r="W194" s="428"/>
      <c r="X194" s="428"/>
    </row>
    <row r="195" spans="2:24" ht="12.75">
      <c r="B195" s="426"/>
      <c r="F195" s="428"/>
      <c r="G195" s="428"/>
      <c r="H195" s="428"/>
      <c r="I195" s="428"/>
      <c r="J195" s="428"/>
      <c r="K195" s="428"/>
      <c r="L195" s="428"/>
      <c r="M195" s="428"/>
      <c r="N195" s="428"/>
      <c r="O195" s="428"/>
      <c r="P195" s="428"/>
      <c r="Q195" s="428"/>
      <c r="S195" s="428"/>
      <c r="W195" s="428"/>
      <c r="X195" s="428"/>
    </row>
    <row r="196" spans="2:24" ht="12.75">
      <c r="B196" s="426"/>
      <c r="F196" s="428"/>
      <c r="G196" s="428"/>
      <c r="H196" s="428"/>
      <c r="I196" s="428"/>
      <c r="J196" s="428"/>
      <c r="K196" s="428"/>
      <c r="L196" s="428"/>
      <c r="M196" s="428"/>
      <c r="N196" s="428"/>
      <c r="O196" s="428"/>
      <c r="P196" s="428"/>
      <c r="Q196" s="428"/>
      <c r="S196" s="428"/>
      <c r="W196" s="428"/>
      <c r="X196" s="428"/>
    </row>
    <row r="197" spans="2:24" ht="12.75">
      <c r="B197" s="426"/>
      <c r="F197" s="428"/>
      <c r="G197" s="428"/>
      <c r="H197" s="428"/>
      <c r="I197" s="428"/>
      <c r="J197" s="428"/>
      <c r="K197" s="428"/>
      <c r="L197" s="428"/>
      <c r="M197" s="428"/>
      <c r="N197" s="428"/>
      <c r="O197" s="428"/>
      <c r="P197" s="428"/>
      <c r="Q197" s="428"/>
      <c r="S197" s="428"/>
      <c r="W197" s="428"/>
      <c r="X197" s="428"/>
    </row>
    <row r="198" spans="2:24" ht="12.75">
      <c r="B198" s="426"/>
      <c r="F198" s="428"/>
      <c r="G198" s="428"/>
      <c r="H198" s="428"/>
      <c r="I198" s="428"/>
      <c r="J198" s="428"/>
      <c r="K198" s="428"/>
      <c r="L198" s="428"/>
      <c r="M198" s="428"/>
      <c r="N198" s="428"/>
      <c r="O198" s="428"/>
      <c r="P198" s="428"/>
      <c r="Q198" s="428"/>
      <c r="S198" s="428"/>
      <c r="W198" s="428"/>
      <c r="X198" s="428"/>
    </row>
    <row r="199" spans="2:24" ht="12.75">
      <c r="B199" s="426"/>
      <c r="F199" s="428"/>
      <c r="G199" s="428"/>
      <c r="H199" s="428"/>
      <c r="I199" s="428"/>
      <c r="J199" s="428"/>
      <c r="K199" s="428"/>
      <c r="L199" s="428"/>
      <c r="M199" s="428"/>
      <c r="N199" s="428"/>
      <c r="O199" s="428"/>
      <c r="P199" s="428"/>
      <c r="Q199" s="428"/>
      <c r="S199" s="428"/>
      <c r="W199" s="428"/>
      <c r="X199" s="428"/>
    </row>
    <row r="200" spans="2:24" ht="12.75">
      <c r="B200" s="426"/>
      <c r="F200" s="428"/>
      <c r="G200" s="428"/>
      <c r="H200" s="428"/>
      <c r="I200" s="428"/>
      <c r="J200" s="428"/>
      <c r="K200" s="428"/>
      <c r="L200" s="428"/>
      <c r="M200" s="428"/>
      <c r="N200" s="428"/>
      <c r="O200" s="428"/>
      <c r="P200" s="428"/>
      <c r="Q200" s="428"/>
      <c r="S200" s="428"/>
      <c r="W200" s="428"/>
      <c r="X200" s="428"/>
    </row>
    <row r="201" spans="2:24" ht="12.75">
      <c r="B201" s="426"/>
      <c r="F201" s="428"/>
      <c r="G201" s="428"/>
      <c r="H201" s="428"/>
      <c r="I201" s="428"/>
      <c r="J201" s="428"/>
      <c r="K201" s="428"/>
      <c r="L201" s="428"/>
      <c r="M201" s="428"/>
      <c r="N201" s="428"/>
      <c r="O201" s="428"/>
      <c r="P201" s="428"/>
      <c r="Q201" s="428"/>
      <c r="S201" s="428"/>
      <c r="W201" s="428"/>
      <c r="X201" s="428"/>
    </row>
    <row r="202" spans="2:24" ht="12.75">
      <c r="B202" s="426"/>
      <c r="F202" s="428"/>
      <c r="G202" s="428"/>
      <c r="H202" s="428"/>
      <c r="I202" s="428"/>
      <c r="J202" s="428"/>
      <c r="K202" s="428"/>
      <c r="L202" s="428"/>
      <c r="M202" s="428"/>
      <c r="N202" s="428"/>
      <c r="O202" s="428"/>
      <c r="P202" s="428"/>
      <c r="Q202" s="428"/>
      <c r="S202" s="428"/>
      <c r="W202" s="428"/>
      <c r="X202" s="428"/>
    </row>
    <row r="203" spans="2:24" ht="12.75">
      <c r="B203" s="426"/>
      <c r="F203" s="428"/>
      <c r="G203" s="428"/>
      <c r="H203" s="428"/>
      <c r="I203" s="428"/>
      <c r="J203" s="428"/>
      <c r="K203" s="428"/>
      <c r="L203" s="428"/>
      <c r="M203" s="428"/>
      <c r="N203" s="428"/>
      <c r="O203" s="428"/>
      <c r="P203" s="428"/>
      <c r="Q203" s="428"/>
      <c r="S203" s="428"/>
      <c r="W203" s="428"/>
      <c r="X203" s="428"/>
    </row>
    <row r="204" spans="2:24" ht="12.75">
      <c r="B204" s="426"/>
      <c r="F204" s="428"/>
      <c r="G204" s="428"/>
      <c r="H204" s="428"/>
      <c r="I204" s="428"/>
      <c r="J204" s="428"/>
      <c r="K204" s="428"/>
      <c r="L204" s="428"/>
      <c r="M204" s="428"/>
      <c r="N204" s="428"/>
      <c r="O204" s="428"/>
      <c r="P204" s="428"/>
      <c r="Q204" s="428"/>
      <c r="S204" s="428"/>
      <c r="W204" s="428"/>
      <c r="X204" s="428"/>
    </row>
    <row r="205" spans="2:24" ht="12.75">
      <c r="B205" s="426"/>
      <c r="F205" s="428"/>
      <c r="G205" s="428"/>
      <c r="H205" s="428"/>
      <c r="I205" s="428"/>
      <c r="J205" s="428"/>
      <c r="K205" s="428"/>
      <c r="L205" s="428"/>
      <c r="M205" s="428"/>
      <c r="N205" s="428"/>
      <c r="O205" s="428"/>
      <c r="P205" s="428"/>
      <c r="Q205" s="428"/>
      <c r="S205" s="428"/>
      <c r="W205" s="428"/>
      <c r="X205" s="428"/>
    </row>
    <row r="206" spans="2:24" ht="12.75">
      <c r="B206" s="426"/>
      <c r="F206" s="428"/>
      <c r="G206" s="428"/>
      <c r="H206" s="428"/>
      <c r="I206" s="428"/>
      <c r="J206" s="428"/>
      <c r="K206" s="428"/>
      <c r="L206" s="428"/>
      <c r="M206" s="428"/>
      <c r="N206" s="428"/>
      <c r="O206" s="428"/>
      <c r="P206" s="428"/>
      <c r="Q206" s="428"/>
      <c r="S206" s="428"/>
      <c r="W206" s="428"/>
      <c r="X206" s="428"/>
    </row>
    <row r="207" spans="2:24" ht="12.75">
      <c r="B207" s="426"/>
      <c r="F207" s="428"/>
      <c r="G207" s="428"/>
      <c r="H207" s="428"/>
      <c r="I207" s="428"/>
      <c r="J207" s="428"/>
      <c r="K207" s="428"/>
      <c r="L207" s="428"/>
      <c r="M207" s="428"/>
      <c r="N207" s="428"/>
      <c r="O207" s="428"/>
      <c r="P207" s="428"/>
      <c r="Q207" s="428"/>
      <c r="S207" s="428"/>
      <c r="W207" s="428"/>
      <c r="X207" s="428"/>
    </row>
    <row r="208" spans="2:24" ht="12.75">
      <c r="B208" s="426"/>
      <c r="F208" s="428"/>
      <c r="G208" s="428"/>
      <c r="H208" s="428"/>
      <c r="I208" s="428"/>
      <c r="J208" s="428"/>
      <c r="K208" s="428"/>
      <c r="L208" s="428"/>
      <c r="M208" s="428"/>
      <c r="N208" s="428"/>
      <c r="O208" s="428"/>
      <c r="P208" s="428"/>
      <c r="Q208" s="428"/>
      <c r="S208" s="428"/>
      <c r="W208" s="428"/>
      <c r="X208" s="428"/>
    </row>
    <row r="209" spans="2:24" ht="12.75">
      <c r="B209" s="426"/>
      <c r="F209" s="428"/>
      <c r="G209" s="428"/>
      <c r="H209" s="428"/>
      <c r="I209" s="428"/>
      <c r="J209" s="428"/>
      <c r="K209" s="428"/>
      <c r="L209" s="428"/>
      <c r="M209" s="428"/>
      <c r="N209" s="428"/>
      <c r="O209" s="428"/>
      <c r="P209" s="428"/>
      <c r="Q209" s="428"/>
      <c r="S209" s="428"/>
      <c r="W209" s="428"/>
      <c r="X209" s="428"/>
    </row>
    <row r="210" spans="2:24" ht="12.75">
      <c r="B210" s="426"/>
      <c r="F210" s="428"/>
      <c r="G210" s="428"/>
      <c r="H210" s="428"/>
      <c r="I210" s="428"/>
      <c r="J210" s="428"/>
      <c r="K210" s="428"/>
      <c r="L210" s="428"/>
      <c r="M210" s="428"/>
      <c r="N210" s="428"/>
      <c r="O210" s="428"/>
      <c r="P210" s="428"/>
      <c r="Q210" s="428"/>
      <c r="S210" s="428"/>
      <c r="W210" s="428"/>
      <c r="X210" s="428"/>
    </row>
    <row r="211" spans="2:24" ht="12.75">
      <c r="B211" s="426"/>
      <c r="F211" s="428"/>
      <c r="G211" s="428"/>
      <c r="H211" s="428"/>
      <c r="I211" s="428"/>
      <c r="J211" s="428"/>
      <c r="K211" s="428"/>
      <c r="L211" s="428"/>
      <c r="M211" s="428"/>
      <c r="N211" s="428"/>
      <c r="O211" s="428"/>
      <c r="P211" s="428"/>
      <c r="Q211" s="428"/>
      <c r="S211" s="428"/>
      <c r="W211" s="428"/>
      <c r="X211" s="428"/>
    </row>
    <row r="212" spans="2:24" ht="12.75">
      <c r="B212" s="426"/>
      <c r="F212" s="428"/>
      <c r="G212" s="428"/>
      <c r="H212" s="428"/>
      <c r="I212" s="428"/>
      <c r="J212" s="428"/>
      <c r="K212" s="428"/>
      <c r="L212" s="428"/>
      <c r="M212" s="428"/>
      <c r="N212" s="428"/>
      <c r="O212" s="428"/>
      <c r="P212" s="428"/>
      <c r="Q212" s="428"/>
      <c r="S212" s="428"/>
      <c r="W212" s="428"/>
      <c r="X212" s="428"/>
    </row>
    <row r="213" spans="2:24" ht="12.75">
      <c r="B213" s="426"/>
      <c r="F213" s="428"/>
      <c r="G213" s="428"/>
      <c r="H213" s="428"/>
      <c r="I213" s="428"/>
      <c r="J213" s="428"/>
      <c r="K213" s="428"/>
      <c r="L213" s="428"/>
      <c r="M213" s="428"/>
      <c r="N213" s="428"/>
      <c r="O213" s="428"/>
      <c r="P213" s="428"/>
      <c r="Q213" s="428"/>
      <c r="S213" s="428"/>
      <c r="W213" s="428"/>
      <c r="X213" s="428"/>
    </row>
    <row r="214" spans="2:24" ht="12.75">
      <c r="B214" s="426"/>
      <c r="F214" s="428"/>
      <c r="G214" s="428"/>
      <c r="H214" s="428"/>
      <c r="I214" s="428"/>
      <c r="J214" s="428"/>
      <c r="K214" s="428"/>
      <c r="L214" s="428"/>
      <c r="M214" s="428"/>
      <c r="N214" s="428"/>
      <c r="O214" s="428"/>
      <c r="P214" s="428"/>
      <c r="Q214" s="428"/>
      <c r="S214" s="428"/>
      <c r="W214" s="428"/>
      <c r="X214" s="428"/>
    </row>
    <row r="215" spans="2:24" ht="12.75">
      <c r="B215" s="426"/>
      <c r="F215" s="428"/>
      <c r="G215" s="428"/>
      <c r="H215" s="428"/>
      <c r="I215" s="428"/>
      <c r="J215" s="428"/>
      <c r="K215" s="428"/>
      <c r="L215" s="428"/>
      <c r="M215" s="428"/>
      <c r="N215" s="428"/>
      <c r="O215" s="428"/>
      <c r="P215" s="428"/>
      <c r="Q215" s="428"/>
      <c r="S215" s="428"/>
      <c r="W215" s="428"/>
      <c r="X215" s="428"/>
    </row>
    <row r="216" spans="2:24" ht="12.75">
      <c r="B216" s="426"/>
      <c r="F216" s="428"/>
      <c r="G216" s="428"/>
      <c r="H216" s="428"/>
      <c r="I216" s="428"/>
      <c r="J216" s="428"/>
      <c r="K216" s="428"/>
      <c r="L216" s="428"/>
      <c r="M216" s="428"/>
      <c r="N216" s="428"/>
      <c r="O216" s="428"/>
      <c r="P216" s="428"/>
      <c r="Q216" s="428"/>
      <c r="S216" s="428"/>
      <c r="W216" s="428"/>
      <c r="X216" s="428"/>
    </row>
    <row r="217" spans="2:24" ht="12.75">
      <c r="B217" s="426"/>
      <c r="F217" s="428"/>
      <c r="G217" s="428"/>
      <c r="H217" s="428"/>
      <c r="I217" s="428"/>
      <c r="J217" s="428"/>
      <c r="K217" s="428"/>
      <c r="L217" s="428"/>
      <c r="M217" s="428"/>
      <c r="N217" s="428"/>
      <c r="O217" s="428"/>
      <c r="P217" s="428"/>
      <c r="Q217" s="428"/>
      <c r="S217" s="428"/>
      <c r="W217" s="428"/>
      <c r="X217" s="428"/>
    </row>
    <row r="218" spans="2:24" ht="12.75">
      <c r="B218" s="426"/>
      <c r="F218" s="428"/>
      <c r="G218" s="428"/>
      <c r="H218" s="428"/>
      <c r="I218" s="428"/>
      <c r="J218" s="428"/>
      <c r="K218" s="428"/>
      <c r="L218" s="428"/>
      <c r="M218" s="428"/>
      <c r="N218" s="428"/>
      <c r="O218" s="428"/>
      <c r="P218" s="428"/>
      <c r="Q218" s="428"/>
      <c r="S218" s="428"/>
      <c r="W218" s="428"/>
      <c r="X218" s="428"/>
    </row>
    <row r="219" spans="2:24" ht="12.75">
      <c r="B219" s="426"/>
      <c r="F219" s="428"/>
      <c r="G219" s="428"/>
      <c r="H219" s="428"/>
      <c r="I219" s="428"/>
      <c r="J219" s="428"/>
      <c r="K219" s="428"/>
      <c r="L219" s="428"/>
      <c r="M219" s="428"/>
      <c r="N219" s="428"/>
      <c r="O219" s="428"/>
      <c r="P219" s="428"/>
      <c r="Q219" s="428"/>
      <c r="S219" s="428"/>
      <c r="W219" s="428"/>
      <c r="X219" s="428"/>
    </row>
    <row r="220" spans="2:24" ht="12.75">
      <c r="B220" s="426"/>
      <c r="F220" s="428"/>
      <c r="G220" s="428"/>
      <c r="H220" s="428"/>
      <c r="I220" s="428"/>
      <c r="J220" s="428"/>
      <c r="K220" s="428"/>
      <c r="L220" s="428"/>
      <c r="M220" s="428"/>
      <c r="N220" s="428"/>
      <c r="O220" s="428"/>
      <c r="P220" s="428"/>
      <c r="Q220" s="428"/>
      <c r="S220" s="428"/>
      <c r="W220" s="428"/>
      <c r="X220" s="428"/>
    </row>
    <row r="221" spans="2:24" ht="12.75">
      <c r="B221" s="426"/>
      <c r="F221" s="428"/>
      <c r="G221" s="428"/>
      <c r="H221" s="428"/>
      <c r="I221" s="428"/>
      <c r="J221" s="428"/>
      <c r="K221" s="428"/>
      <c r="L221" s="428"/>
      <c r="M221" s="428"/>
      <c r="N221" s="428"/>
      <c r="O221" s="428"/>
      <c r="P221" s="428"/>
      <c r="Q221" s="428"/>
      <c r="S221" s="428"/>
      <c r="W221" s="428"/>
      <c r="X221" s="428"/>
    </row>
    <row r="222" spans="2:24" ht="12.75">
      <c r="B222" s="426"/>
      <c r="F222" s="428"/>
      <c r="G222" s="428"/>
      <c r="H222" s="428"/>
      <c r="I222" s="428"/>
      <c r="J222" s="428"/>
      <c r="K222" s="428"/>
      <c r="L222" s="428"/>
      <c r="M222" s="428"/>
      <c r="N222" s="428"/>
      <c r="O222" s="428"/>
      <c r="P222" s="428"/>
      <c r="Q222" s="428"/>
      <c r="S222" s="428"/>
      <c r="W222" s="428"/>
      <c r="X222" s="428"/>
    </row>
    <row r="223" spans="2:24" ht="12.75">
      <c r="B223" s="426"/>
      <c r="F223" s="428"/>
      <c r="G223" s="428"/>
      <c r="H223" s="428"/>
      <c r="I223" s="428"/>
      <c r="J223" s="428"/>
      <c r="K223" s="428"/>
      <c r="L223" s="428"/>
      <c r="M223" s="428"/>
      <c r="N223" s="428"/>
      <c r="O223" s="428"/>
      <c r="P223" s="428"/>
      <c r="Q223" s="428"/>
      <c r="S223" s="428"/>
      <c r="W223" s="428"/>
      <c r="X223" s="428"/>
    </row>
    <row r="224" spans="2:24" ht="12.75">
      <c r="B224" s="426"/>
      <c r="F224" s="428"/>
      <c r="G224" s="428"/>
      <c r="H224" s="428"/>
      <c r="I224" s="428"/>
      <c r="J224" s="428"/>
      <c r="K224" s="428"/>
      <c r="L224" s="428"/>
      <c r="M224" s="428"/>
      <c r="N224" s="428"/>
      <c r="O224" s="428"/>
      <c r="P224" s="428"/>
      <c r="Q224" s="428"/>
      <c r="S224" s="428"/>
      <c r="W224" s="428"/>
      <c r="X224" s="428"/>
    </row>
    <row r="225" spans="2:24" ht="12.75">
      <c r="B225" s="426"/>
      <c r="F225" s="428"/>
      <c r="G225" s="428"/>
      <c r="H225" s="428"/>
      <c r="I225" s="428"/>
      <c r="J225" s="428"/>
      <c r="K225" s="428"/>
      <c r="L225" s="428"/>
      <c r="M225" s="428"/>
      <c r="N225" s="428"/>
      <c r="O225" s="428"/>
      <c r="P225" s="428"/>
      <c r="Q225" s="428"/>
      <c r="S225" s="428"/>
      <c r="W225" s="428"/>
      <c r="X225" s="428"/>
    </row>
    <row r="226" spans="2:24" ht="12.75">
      <c r="B226" s="426"/>
      <c r="F226" s="428"/>
      <c r="G226" s="428"/>
      <c r="H226" s="428"/>
      <c r="I226" s="428"/>
      <c r="J226" s="428"/>
      <c r="K226" s="428"/>
      <c r="L226" s="428"/>
      <c r="M226" s="428"/>
      <c r="N226" s="428"/>
      <c r="O226" s="428"/>
      <c r="P226" s="428"/>
      <c r="Q226" s="428"/>
      <c r="S226" s="428"/>
      <c r="W226" s="428"/>
      <c r="X226" s="428"/>
    </row>
    <row r="227" spans="2:24" ht="12.75">
      <c r="B227" s="426"/>
      <c r="F227" s="428"/>
      <c r="G227" s="428"/>
      <c r="H227" s="428"/>
      <c r="I227" s="428"/>
      <c r="J227" s="428"/>
      <c r="K227" s="428"/>
      <c r="L227" s="428"/>
      <c r="M227" s="428"/>
      <c r="N227" s="428"/>
      <c r="O227" s="428"/>
      <c r="P227" s="428"/>
      <c r="Q227" s="428"/>
      <c r="S227" s="428"/>
      <c r="W227" s="428"/>
      <c r="X227" s="428"/>
    </row>
    <row r="228" spans="2:24" ht="12.75">
      <c r="B228" s="426"/>
      <c r="F228" s="428"/>
      <c r="G228" s="428"/>
      <c r="H228" s="428"/>
      <c r="I228" s="428"/>
      <c r="J228" s="428"/>
      <c r="K228" s="428"/>
      <c r="L228" s="428"/>
      <c r="M228" s="428"/>
      <c r="N228" s="428"/>
      <c r="O228" s="428"/>
      <c r="P228" s="428"/>
      <c r="Q228" s="428"/>
      <c r="S228" s="428"/>
      <c r="W228" s="428"/>
      <c r="X228" s="428"/>
    </row>
    <row r="229" spans="2:24" ht="12.75">
      <c r="B229" s="426"/>
      <c r="F229" s="428"/>
      <c r="G229" s="428"/>
      <c r="H229" s="428"/>
      <c r="I229" s="428"/>
      <c r="J229" s="428"/>
      <c r="K229" s="428"/>
      <c r="L229" s="428"/>
      <c r="M229" s="428"/>
      <c r="N229" s="428"/>
      <c r="O229" s="428"/>
      <c r="P229" s="428"/>
      <c r="Q229" s="428"/>
      <c r="S229" s="428"/>
      <c r="W229" s="428"/>
      <c r="X229" s="428"/>
    </row>
    <row r="230" spans="2:24" ht="12.75">
      <c r="B230" s="426"/>
      <c r="F230" s="428"/>
      <c r="G230" s="428"/>
      <c r="H230" s="428"/>
      <c r="I230" s="428"/>
      <c r="J230" s="428"/>
      <c r="K230" s="428"/>
      <c r="L230" s="428"/>
      <c r="M230" s="428"/>
      <c r="N230" s="428"/>
      <c r="O230" s="428"/>
      <c r="P230" s="428"/>
      <c r="Q230" s="428"/>
      <c r="S230" s="428"/>
      <c r="W230" s="428"/>
      <c r="X230" s="428"/>
    </row>
    <row r="231" spans="2:24" ht="12.75">
      <c r="B231" s="426"/>
      <c r="F231" s="428"/>
      <c r="G231" s="428"/>
      <c r="H231" s="428"/>
      <c r="I231" s="428"/>
      <c r="J231" s="428"/>
      <c r="K231" s="428"/>
      <c r="L231" s="428"/>
      <c r="M231" s="428"/>
      <c r="N231" s="428"/>
      <c r="O231" s="428"/>
      <c r="P231" s="428"/>
      <c r="Q231" s="428"/>
      <c r="S231" s="428"/>
      <c r="W231" s="428"/>
      <c r="X231" s="428"/>
    </row>
    <row r="232" spans="2:24" ht="12.75">
      <c r="B232" s="426"/>
      <c r="F232" s="428"/>
      <c r="G232" s="428"/>
      <c r="H232" s="428"/>
      <c r="I232" s="428"/>
      <c r="J232" s="428"/>
      <c r="K232" s="428"/>
      <c r="L232" s="428"/>
      <c r="M232" s="428"/>
      <c r="N232" s="428"/>
      <c r="O232" s="428"/>
      <c r="P232" s="428"/>
      <c r="Q232" s="428"/>
      <c r="S232" s="428"/>
      <c r="W232" s="428"/>
      <c r="X232" s="428"/>
    </row>
    <row r="233" spans="2:24" ht="12.75">
      <c r="B233" s="426"/>
      <c r="F233" s="428"/>
      <c r="G233" s="428"/>
      <c r="H233" s="428"/>
      <c r="I233" s="428"/>
      <c r="J233" s="428"/>
      <c r="K233" s="428"/>
      <c r="L233" s="428"/>
      <c r="M233" s="428"/>
      <c r="N233" s="428"/>
      <c r="O233" s="428"/>
      <c r="P233" s="428"/>
      <c r="Q233" s="428"/>
      <c r="S233" s="428"/>
      <c r="W233" s="428"/>
      <c r="X233" s="428"/>
    </row>
    <row r="234" spans="2:24" ht="12.75">
      <c r="B234" s="426"/>
      <c r="F234" s="428"/>
      <c r="G234" s="428"/>
      <c r="H234" s="428"/>
      <c r="I234" s="428"/>
      <c r="J234" s="428"/>
      <c r="K234" s="428"/>
      <c r="L234" s="428"/>
      <c r="M234" s="428"/>
      <c r="N234" s="428"/>
      <c r="O234" s="428"/>
      <c r="P234" s="428"/>
      <c r="Q234" s="428"/>
      <c r="S234" s="428"/>
      <c r="W234" s="428"/>
      <c r="X234" s="428"/>
    </row>
    <row r="235" spans="2:24" ht="12.75">
      <c r="B235" s="426"/>
      <c r="F235" s="428"/>
      <c r="G235" s="428"/>
      <c r="H235" s="428"/>
      <c r="I235" s="428"/>
      <c r="J235" s="428"/>
      <c r="K235" s="428"/>
      <c r="L235" s="428"/>
      <c r="M235" s="428"/>
      <c r="N235" s="428"/>
      <c r="O235" s="428"/>
      <c r="P235" s="428"/>
      <c r="Q235" s="428"/>
      <c r="S235" s="428"/>
      <c r="W235" s="428"/>
      <c r="X235" s="428"/>
    </row>
    <row r="236" spans="2:24" ht="12.75">
      <c r="B236" s="426"/>
      <c r="F236" s="428"/>
      <c r="G236" s="428"/>
      <c r="H236" s="428"/>
      <c r="I236" s="428"/>
      <c r="J236" s="428"/>
      <c r="K236" s="428"/>
      <c r="L236" s="428"/>
      <c r="M236" s="428"/>
      <c r="N236" s="428"/>
      <c r="O236" s="428"/>
      <c r="P236" s="428"/>
      <c r="Q236" s="428"/>
      <c r="S236" s="428"/>
      <c r="W236" s="428"/>
      <c r="X236" s="428"/>
    </row>
    <row r="237" spans="2:24" ht="12.75">
      <c r="B237" s="426"/>
      <c r="F237" s="428"/>
      <c r="G237" s="428"/>
      <c r="H237" s="428"/>
      <c r="I237" s="428"/>
      <c r="J237" s="428"/>
      <c r="K237" s="428"/>
      <c r="L237" s="428"/>
      <c r="M237" s="428"/>
      <c r="N237" s="428"/>
      <c r="O237" s="428"/>
      <c r="P237" s="428"/>
      <c r="Q237" s="428"/>
      <c r="S237" s="428"/>
      <c r="W237" s="428"/>
      <c r="X237" s="428"/>
    </row>
    <row r="238" spans="2:24" ht="12.75">
      <c r="B238" s="426"/>
      <c r="F238" s="428"/>
      <c r="G238" s="428"/>
      <c r="H238" s="428"/>
      <c r="I238" s="428"/>
      <c r="J238" s="428"/>
      <c r="K238" s="428"/>
      <c r="L238" s="428"/>
      <c r="M238" s="428"/>
      <c r="N238" s="428"/>
      <c r="O238" s="428"/>
      <c r="P238" s="428"/>
      <c r="Q238" s="428"/>
      <c r="S238" s="428"/>
      <c r="W238" s="428"/>
      <c r="X238" s="428"/>
    </row>
    <row r="239" spans="2:24" ht="12.75">
      <c r="B239" s="426"/>
      <c r="F239" s="428"/>
      <c r="G239" s="428"/>
      <c r="H239" s="428"/>
      <c r="I239" s="428"/>
      <c r="J239" s="428"/>
      <c r="K239" s="428"/>
      <c r="L239" s="428"/>
      <c r="M239" s="428"/>
      <c r="N239" s="428"/>
      <c r="O239" s="428"/>
      <c r="P239" s="428"/>
      <c r="Q239" s="428"/>
      <c r="S239" s="428"/>
      <c r="W239" s="428"/>
      <c r="X239" s="428"/>
    </row>
    <row r="240" spans="2:24" ht="12.75">
      <c r="B240" s="426"/>
      <c r="F240" s="428"/>
      <c r="G240" s="428"/>
      <c r="H240" s="428"/>
      <c r="I240" s="428"/>
      <c r="J240" s="428"/>
      <c r="K240" s="428"/>
      <c r="L240" s="428"/>
      <c r="M240" s="428"/>
      <c r="N240" s="428"/>
      <c r="O240" s="428"/>
      <c r="P240" s="428"/>
      <c r="Q240" s="428"/>
      <c r="S240" s="428"/>
      <c r="W240" s="428"/>
      <c r="X240" s="428"/>
    </row>
    <row r="241" spans="2:24" ht="12.75">
      <c r="B241" s="426"/>
      <c r="F241" s="428"/>
      <c r="G241" s="428"/>
      <c r="H241" s="428"/>
      <c r="I241" s="428"/>
      <c r="J241" s="428"/>
      <c r="K241" s="428"/>
      <c r="L241" s="428"/>
      <c r="M241" s="428"/>
      <c r="N241" s="428"/>
      <c r="O241" s="428"/>
      <c r="P241" s="428"/>
      <c r="Q241" s="428"/>
      <c r="S241" s="428"/>
      <c r="W241" s="428"/>
      <c r="X241" s="428"/>
    </row>
    <row r="242" spans="2:24" ht="12.75">
      <c r="B242" s="426"/>
      <c r="F242" s="428"/>
      <c r="G242" s="428"/>
      <c r="H242" s="428"/>
      <c r="I242" s="428"/>
      <c r="J242" s="428"/>
      <c r="K242" s="428"/>
      <c r="L242" s="428"/>
      <c r="M242" s="428"/>
      <c r="N242" s="428"/>
      <c r="O242" s="428"/>
      <c r="P242" s="428"/>
      <c r="Q242" s="428"/>
      <c r="S242" s="428"/>
      <c r="W242" s="428"/>
      <c r="X242" s="428"/>
    </row>
    <row r="243" spans="2:24" ht="12.75">
      <c r="B243" s="426"/>
      <c r="F243" s="428"/>
      <c r="G243" s="428"/>
      <c r="H243" s="428"/>
      <c r="I243" s="428"/>
      <c r="J243" s="428"/>
      <c r="K243" s="428"/>
      <c r="L243" s="428"/>
      <c r="M243" s="428"/>
      <c r="N243" s="428"/>
      <c r="O243" s="428"/>
      <c r="P243" s="428"/>
      <c r="Q243" s="428"/>
      <c r="S243" s="428"/>
      <c r="W243" s="428"/>
      <c r="X243" s="428"/>
    </row>
    <row r="244" spans="2:24" ht="12.75">
      <c r="B244" s="426"/>
      <c r="F244" s="428"/>
      <c r="G244" s="428"/>
      <c r="H244" s="428"/>
      <c r="I244" s="428"/>
      <c r="J244" s="428"/>
      <c r="K244" s="428"/>
      <c r="L244" s="428"/>
      <c r="M244" s="428"/>
      <c r="N244" s="428"/>
      <c r="O244" s="428"/>
      <c r="P244" s="428"/>
      <c r="Q244" s="428"/>
      <c r="S244" s="428"/>
      <c r="W244" s="428"/>
      <c r="X244" s="428"/>
    </row>
    <row r="245" spans="2:24" ht="12.75">
      <c r="B245" s="426"/>
      <c r="F245" s="428"/>
      <c r="G245" s="428"/>
      <c r="H245" s="428"/>
      <c r="I245" s="428"/>
      <c r="J245" s="428"/>
      <c r="K245" s="428"/>
      <c r="L245" s="428"/>
      <c r="M245" s="428"/>
      <c r="N245" s="428"/>
      <c r="O245" s="428"/>
      <c r="P245" s="428"/>
      <c r="Q245" s="428"/>
      <c r="S245" s="428"/>
      <c r="W245" s="428"/>
      <c r="X245" s="428"/>
    </row>
    <row r="246" spans="2:24" ht="12.75">
      <c r="B246" s="426"/>
      <c r="F246" s="428"/>
      <c r="G246" s="428"/>
      <c r="H246" s="428"/>
      <c r="I246" s="428"/>
      <c r="J246" s="428"/>
      <c r="K246" s="428"/>
      <c r="L246" s="428"/>
      <c r="M246" s="428"/>
      <c r="N246" s="428"/>
      <c r="O246" s="428"/>
      <c r="P246" s="428"/>
      <c r="Q246" s="428"/>
      <c r="S246" s="428"/>
      <c r="W246" s="428"/>
      <c r="X246" s="428"/>
    </row>
    <row r="247" spans="2:24" ht="12.75">
      <c r="B247" s="426"/>
      <c r="F247" s="428"/>
      <c r="G247" s="428"/>
      <c r="H247" s="428"/>
      <c r="I247" s="428"/>
      <c r="J247" s="428"/>
      <c r="K247" s="428"/>
      <c r="L247" s="428"/>
      <c r="M247" s="428"/>
      <c r="N247" s="428"/>
      <c r="O247" s="428"/>
      <c r="P247" s="428"/>
      <c r="Q247" s="428"/>
      <c r="S247" s="428"/>
      <c r="W247" s="428"/>
      <c r="X247" s="428"/>
    </row>
    <row r="248" spans="2:24" ht="12.75">
      <c r="B248" s="426"/>
      <c r="F248" s="428"/>
      <c r="G248" s="428"/>
      <c r="H248" s="428"/>
      <c r="I248" s="428"/>
      <c r="J248" s="428"/>
      <c r="K248" s="428"/>
      <c r="L248" s="428"/>
      <c r="M248" s="428"/>
      <c r="N248" s="428"/>
      <c r="O248" s="428"/>
      <c r="P248" s="428"/>
      <c r="Q248" s="428"/>
      <c r="S248" s="428"/>
      <c r="W248" s="428"/>
      <c r="X248" s="428"/>
    </row>
    <row r="249" spans="2:24" ht="12.75">
      <c r="B249" s="426"/>
      <c r="F249" s="428"/>
      <c r="G249" s="428"/>
      <c r="H249" s="428"/>
      <c r="I249" s="428"/>
      <c r="J249" s="428"/>
      <c r="K249" s="428"/>
      <c r="L249" s="428"/>
      <c r="M249" s="428"/>
      <c r="N249" s="428"/>
      <c r="O249" s="428"/>
      <c r="P249" s="428"/>
      <c r="Q249" s="428"/>
      <c r="S249" s="428"/>
      <c r="W249" s="428"/>
      <c r="X249" s="428"/>
    </row>
    <row r="250" spans="2:24" ht="12.75">
      <c r="B250" s="426"/>
      <c r="F250" s="428"/>
      <c r="G250" s="428"/>
      <c r="H250" s="428"/>
      <c r="I250" s="428"/>
      <c r="J250" s="428"/>
      <c r="K250" s="428"/>
      <c r="L250" s="428"/>
      <c r="M250" s="428"/>
      <c r="N250" s="428"/>
      <c r="O250" s="428"/>
      <c r="P250" s="428"/>
      <c r="Q250" s="428"/>
      <c r="S250" s="428"/>
      <c r="W250" s="428"/>
      <c r="X250" s="428"/>
    </row>
    <row r="251" spans="2:24" ht="12.75">
      <c r="B251" s="426"/>
      <c r="F251" s="428"/>
      <c r="G251" s="428"/>
      <c r="H251" s="428"/>
      <c r="I251" s="428"/>
      <c r="J251" s="428"/>
      <c r="K251" s="428"/>
      <c r="L251" s="428"/>
      <c r="M251" s="428"/>
      <c r="N251" s="428"/>
      <c r="O251" s="428"/>
      <c r="P251" s="428"/>
      <c r="Q251" s="428"/>
      <c r="S251" s="428"/>
      <c r="W251" s="428"/>
      <c r="X251" s="428"/>
    </row>
    <row r="252" spans="2:24" ht="12.75">
      <c r="B252" s="426"/>
      <c r="F252" s="428"/>
      <c r="G252" s="428"/>
      <c r="H252" s="428"/>
      <c r="I252" s="428"/>
      <c r="J252" s="428"/>
      <c r="K252" s="428"/>
      <c r="L252" s="428"/>
      <c r="M252" s="428"/>
      <c r="N252" s="428"/>
      <c r="O252" s="428"/>
      <c r="P252" s="428"/>
      <c r="Q252" s="428"/>
      <c r="S252" s="428"/>
      <c r="W252" s="428"/>
      <c r="X252" s="428"/>
    </row>
    <row r="253" spans="2:24" ht="12.75">
      <c r="B253" s="426"/>
      <c r="F253" s="428"/>
      <c r="G253" s="428"/>
      <c r="H253" s="428"/>
      <c r="I253" s="428"/>
      <c r="J253" s="428"/>
      <c r="K253" s="428"/>
      <c r="L253" s="428"/>
      <c r="M253" s="428"/>
      <c r="N253" s="428"/>
      <c r="O253" s="428"/>
      <c r="P253" s="428"/>
      <c r="Q253" s="428"/>
      <c r="S253" s="428"/>
      <c r="W253" s="428"/>
      <c r="X253" s="428"/>
    </row>
    <row r="254" spans="2:24" ht="12.75">
      <c r="B254" s="426"/>
      <c r="F254" s="428"/>
      <c r="G254" s="428"/>
      <c r="H254" s="428"/>
      <c r="I254" s="428"/>
      <c r="J254" s="428"/>
      <c r="K254" s="428"/>
      <c r="L254" s="428"/>
      <c r="M254" s="428"/>
      <c r="N254" s="428"/>
      <c r="O254" s="428"/>
      <c r="P254" s="428"/>
      <c r="Q254" s="428"/>
      <c r="S254" s="428"/>
      <c r="W254" s="428"/>
      <c r="X254" s="428"/>
    </row>
    <row r="255" spans="2:24" ht="12.75">
      <c r="B255" s="426"/>
      <c r="F255" s="428"/>
      <c r="G255" s="428"/>
      <c r="H255" s="428"/>
      <c r="I255" s="428"/>
      <c r="J255" s="428"/>
      <c r="K255" s="428"/>
      <c r="L255" s="428"/>
      <c r="M255" s="428"/>
      <c r="N255" s="428"/>
      <c r="O255" s="428"/>
      <c r="P255" s="428"/>
      <c r="Q255" s="428"/>
      <c r="S255" s="428"/>
      <c r="W255" s="428"/>
      <c r="X255" s="428"/>
    </row>
    <row r="256" spans="2:24" ht="12.75">
      <c r="B256" s="426"/>
      <c r="F256" s="428"/>
      <c r="G256" s="428"/>
      <c r="H256" s="428"/>
      <c r="I256" s="428"/>
      <c r="J256" s="428"/>
      <c r="K256" s="428"/>
      <c r="L256" s="428"/>
      <c r="M256" s="428"/>
      <c r="N256" s="428"/>
      <c r="O256" s="428"/>
      <c r="P256" s="428"/>
      <c r="Q256" s="428"/>
      <c r="S256" s="428"/>
      <c r="W256" s="428"/>
      <c r="X256" s="428"/>
    </row>
    <row r="257" spans="2:24" ht="12.75">
      <c r="B257" s="426"/>
      <c r="F257" s="428"/>
      <c r="G257" s="428"/>
      <c r="H257" s="428"/>
      <c r="I257" s="428"/>
      <c r="J257" s="428"/>
      <c r="K257" s="428"/>
      <c r="L257" s="428"/>
      <c r="M257" s="428"/>
      <c r="N257" s="428"/>
      <c r="O257" s="428"/>
      <c r="P257" s="428"/>
      <c r="Q257" s="428"/>
      <c r="S257" s="428"/>
      <c r="W257" s="428"/>
      <c r="X257" s="428"/>
    </row>
    <row r="258" spans="2:24" ht="12.75">
      <c r="B258" s="426"/>
      <c r="F258" s="428"/>
      <c r="G258" s="428"/>
      <c r="H258" s="428"/>
      <c r="I258" s="428"/>
      <c r="J258" s="428"/>
      <c r="K258" s="428"/>
      <c r="L258" s="428"/>
      <c r="M258" s="428"/>
      <c r="N258" s="428"/>
      <c r="O258" s="428"/>
      <c r="P258" s="428"/>
      <c r="Q258" s="428"/>
      <c r="S258" s="428"/>
      <c r="W258" s="428"/>
      <c r="X258" s="428"/>
    </row>
    <row r="259" spans="2:24" ht="12.75">
      <c r="B259" s="426"/>
      <c r="F259" s="428"/>
      <c r="G259" s="428"/>
      <c r="H259" s="428"/>
      <c r="I259" s="428"/>
      <c r="J259" s="428"/>
      <c r="K259" s="428"/>
      <c r="L259" s="428"/>
      <c r="M259" s="428"/>
      <c r="N259" s="428"/>
      <c r="O259" s="428"/>
      <c r="P259" s="428"/>
      <c r="Q259" s="428"/>
      <c r="S259" s="428"/>
      <c r="W259" s="428"/>
      <c r="X259" s="428"/>
    </row>
    <row r="260" spans="2:24" ht="12.75">
      <c r="B260" s="426"/>
      <c r="F260" s="428"/>
      <c r="G260" s="428"/>
      <c r="H260" s="428"/>
      <c r="I260" s="428"/>
      <c r="J260" s="428"/>
      <c r="K260" s="428"/>
      <c r="L260" s="428"/>
      <c r="M260" s="428"/>
      <c r="N260" s="428"/>
      <c r="O260" s="428"/>
      <c r="P260" s="428"/>
      <c r="Q260" s="428"/>
      <c r="S260" s="428"/>
      <c r="W260" s="428"/>
      <c r="X260" s="428"/>
    </row>
    <row r="261" spans="2:24" ht="12.75">
      <c r="B261" s="426"/>
      <c r="F261" s="428"/>
      <c r="G261" s="428"/>
      <c r="H261" s="428"/>
      <c r="I261" s="428"/>
      <c r="J261" s="428"/>
      <c r="K261" s="428"/>
      <c r="L261" s="428"/>
      <c r="M261" s="428"/>
      <c r="N261" s="428"/>
      <c r="O261" s="428"/>
      <c r="P261" s="428"/>
      <c r="Q261" s="428"/>
      <c r="S261" s="428"/>
      <c r="W261" s="428"/>
      <c r="X261" s="428"/>
    </row>
    <row r="262" spans="2:24" ht="12.75">
      <c r="B262" s="426"/>
      <c r="F262" s="428"/>
      <c r="G262" s="428"/>
      <c r="H262" s="428"/>
      <c r="I262" s="428"/>
      <c r="J262" s="428"/>
      <c r="K262" s="428"/>
      <c r="L262" s="428"/>
      <c r="M262" s="428"/>
      <c r="N262" s="428"/>
      <c r="O262" s="428"/>
      <c r="P262" s="428"/>
      <c r="Q262" s="428"/>
      <c r="S262" s="428"/>
      <c r="W262" s="428"/>
      <c r="X262" s="428"/>
    </row>
    <row r="263" spans="2:24" ht="12.75">
      <c r="B263" s="426"/>
      <c r="F263" s="428"/>
      <c r="G263" s="428"/>
      <c r="H263" s="428"/>
      <c r="I263" s="428"/>
      <c r="J263" s="428"/>
      <c r="K263" s="428"/>
      <c r="L263" s="428"/>
      <c r="M263" s="428"/>
      <c r="N263" s="428"/>
      <c r="O263" s="428"/>
      <c r="P263" s="428"/>
      <c r="Q263" s="428"/>
      <c r="S263" s="428"/>
      <c r="W263" s="428"/>
      <c r="X263" s="428"/>
    </row>
    <row r="264" spans="2:24" ht="12.75">
      <c r="B264" s="426"/>
      <c r="F264" s="428"/>
      <c r="G264" s="428"/>
      <c r="H264" s="428"/>
      <c r="I264" s="428"/>
      <c r="J264" s="428"/>
      <c r="K264" s="428"/>
      <c r="L264" s="428"/>
      <c r="M264" s="428"/>
      <c r="N264" s="428"/>
      <c r="O264" s="428"/>
      <c r="P264" s="428"/>
      <c r="Q264" s="428"/>
      <c r="S264" s="428"/>
      <c r="W264" s="428"/>
      <c r="X264" s="428"/>
    </row>
    <row r="265" spans="2:24" ht="12.75">
      <c r="B265" s="426"/>
      <c r="F265" s="428"/>
      <c r="G265" s="428"/>
      <c r="H265" s="428"/>
      <c r="I265" s="428"/>
      <c r="J265" s="428"/>
      <c r="K265" s="428"/>
      <c r="L265" s="428"/>
      <c r="M265" s="428"/>
      <c r="N265" s="428"/>
      <c r="O265" s="428"/>
      <c r="P265" s="428"/>
      <c r="Q265" s="428"/>
      <c r="S265" s="428"/>
      <c r="W265" s="428"/>
      <c r="X265" s="428"/>
    </row>
    <row r="266" spans="2:24" ht="12.75">
      <c r="B266" s="426"/>
      <c r="F266" s="428"/>
      <c r="G266" s="428"/>
      <c r="H266" s="428"/>
      <c r="I266" s="428"/>
      <c r="J266" s="428"/>
      <c r="K266" s="428"/>
      <c r="L266" s="428"/>
      <c r="M266" s="428"/>
      <c r="N266" s="428"/>
      <c r="O266" s="428"/>
      <c r="P266" s="428"/>
      <c r="Q266" s="428"/>
      <c r="S266" s="428"/>
      <c r="W266" s="428"/>
      <c r="X266" s="428"/>
    </row>
    <row r="267" spans="2:24" ht="12.75">
      <c r="B267" s="426"/>
      <c r="F267" s="428"/>
      <c r="G267" s="428"/>
      <c r="H267" s="428"/>
      <c r="I267" s="428"/>
      <c r="J267" s="428"/>
      <c r="K267" s="428"/>
      <c r="L267" s="428"/>
      <c r="M267" s="428"/>
      <c r="N267" s="428"/>
      <c r="O267" s="428"/>
      <c r="P267" s="428"/>
      <c r="Q267" s="428"/>
      <c r="S267" s="428"/>
      <c r="W267" s="428"/>
      <c r="X267" s="428"/>
    </row>
    <row r="268" spans="2:24" ht="12.75">
      <c r="B268" s="426"/>
      <c r="F268" s="428"/>
      <c r="G268" s="428"/>
      <c r="H268" s="428"/>
      <c r="I268" s="428"/>
      <c r="J268" s="428"/>
      <c r="K268" s="428"/>
      <c r="L268" s="428"/>
      <c r="M268" s="428"/>
      <c r="N268" s="428"/>
      <c r="O268" s="428"/>
      <c r="P268" s="428"/>
      <c r="Q268" s="428"/>
      <c r="S268" s="428"/>
      <c r="W268" s="428"/>
      <c r="X268" s="428"/>
    </row>
    <row r="269" spans="2:24" ht="12.75">
      <c r="B269" s="426"/>
      <c r="F269" s="428"/>
      <c r="G269" s="428"/>
      <c r="H269" s="428"/>
      <c r="I269" s="428"/>
      <c r="J269" s="428"/>
      <c r="K269" s="428"/>
      <c r="L269" s="428"/>
      <c r="M269" s="428"/>
      <c r="N269" s="428"/>
      <c r="O269" s="428"/>
      <c r="P269" s="428"/>
      <c r="Q269" s="428"/>
      <c r="S269" s="428"/>
      <c r="W269" s="428"/>
      <c r="X269" s="428"/>
    </row>
    <row r="270" spans="2:24" ht="12.75">
      <c r="B270" s="426"/>
      <c r="F270" s="428"/>
      <c r="G270" s="428"/>
      <c r="H270" s="428"/>
      <c r="I270" s="428"/>
      <c r="J270" s="428"/>
      <c r="K270" s="428"/>
      <c r="L270" s="428"/>
      <c r="M270" s="428"/>
      <c r="N270" s="428"/>
      <c r="O270" s="428"/>
      <c r="P270" s="428"/>
      <c r="Q270" s="428"/>
      <c r="S270" s="428"/>
      <c r="W270" s="428"/>
      <c r="X270" s="428"/>
    </row>
    <row r="271" spans="2:24" ht="12.75">
      <c r="B271" s="426"/>
      <c r="F271" s="428"/>
      <c r="G271" s="428"/>
      <c r="H271" s="428"/>
      <c r="I271" s="428"/>
      <c r="J271" s="428"/>
      <c r="K271" s="428"/>
      <c r="L271" s="428"/>
      <c r="M271" s="428"/>
      <c r="N271" s="428"/>
      <c r="O271" s="428"/>
      <c r="P271" s="428"/>
      <c r="Q271" s="428"/>
      <c r="S271" s="428"/>
      <c r="W271" s="428"/>
      <c r="X271" s="428"/>
    </row>
    <row r="272" spans="2:24" ht="12.75">
      <c r="B272" s="426"/>
      <c r="F272" s="428"/>
      <c r="G272" s="428"/>
      <c r="H272" s="428"/>
      <c r="I272" s="428"/>
      <c r="J272" s="428"/>
      <c r="K272" s="428"/>
      <c r="L272" s="428"/>
      <c r="M272" s="428"/>
      <c r="N272" s="428"/>
      <c r="O272" s="428"/>
      <c r="P272" s="428"/>
      <c r="Q272" s="428"/>
      <c r="S272" s="428"/>
      <c r="W272" s="428"/>
      <c r="X272" s="428"/>
    </row>
    <row r="273" spans="2:24" ht="12.75">
      <c r="B273" s="426"/>
      <c r="F273" s="428"/>
      <c r="G273" s="428"/>
      <c r="H273" s="428"/>
      <c r="I273" s="428"/>
      <c r="J273" s="428"/>
      <c r="K273" s="428"/>
      <c r="L273" s="428"/>
      <c r="M273" s="428"/>
      <c r="N273" s="428"/>
      <c r="O273" s="428"/>
      <c r="P273" s="428"/>
      <c r="Q273" s="428"/>
      <c r="S273" s="428"/>
      <c r="W273" s="428"/>
      <c r="X273" s="428"/>
    </row>
    <row r="274" spans="2:24" ht="12.75">
      <c r="B274" s="426"/>
      <c r="F274" s="428"/>
      <c r="G274" s="428"/>
      <c r="H274" s="428"/>
      <c r="I274" s="428"/>
      <c r="J274" s="428"/>
      <c r="K274" s="428"/>
      <c r="L274" s="428"/>
      <c r="M274" s="428"/>
      <c r="N274" s="428"/>
      <c r="O274" s="428"/>
      <c r="P274" s="428"/>
      <c r="Q274" s="428"/>
      <c r="S274" s="428"/>
      <c r="W274" s="428"/>
      <c r="X274" s="428"/>
    </row>
    <row r="275" spans="2:24" ht="12.75">
      <c r="B275" s="426"/>
      <c r="F275" s="428"/>
      <c r="G275" s="428"/>
      <c r="H275" s="428"/>
      <c r="I275" s="428"/>
      <c r="J275" s="428"/>
      <c r="K275" s="428"/>
      <c r="L275" s="428"/>
      <c r="M275" s="428"/>
      <c r="N275" s="428"/>
      <c r="O275" s="428"/>
      <c r="P275" s="428"/>
      <c r="Q275" s="428"/>
      <c r="S275" s="428"/>
      <c r="W275" s="428"/>
      <c r="X275" s="428"/>
    </row>
    <row r="276" spans="2:24" ht="12.75">
      <c r="B276" s="426"/>
      <c r="F276" s="428"/>
      <c r="G276" s="428"/>
      <c r="H276" s="428"/>
      <c r="I276" s="428"/>
      <c r="J276" s="428"/>
      <c r="K276" s="428"/>
      <c r="L276" s="428"/>
      <c r="M276" s="428"/>
      <c r="N276" s="428"/>
      <c r="O276" s="428"/>
      <c r="P276" s="428"/>
      <c r="Q276" s="428"/>
      <c r="S276" s="428"/>
      <c r="W276" s="428"/>
      <c r="X276" s="428"/>
    </row>
    <row r="277" spans="2:24" ht="12.75">
      <c r="B277" s="426"/>
      <c r="F277" s="428"/>
      <c r="G277" s="428"/>
      <c r="H277" s="428"/>
      <c r="I277" s="428"/>
      <c r="J277" s="428"/>
      <c r="K277" s="428"/>
      <c r="L277" s="428"/>
      <c r="M277" s="428"/>
      <c r="N277" s="428"/>
      <c r="O277" s="428"/>
      <c r="P277" s="428"/>
      <c r="Q277" s="428"/>
      <c r="S277" s="428"/>
      <c r="W277" s="428"/>
      <c r="X277" s="428"/>
    </row>
    <row r="278" spans="2:24" ht="12.75">
      <c r="B278" s="426"/>
      <c r="F278" s="428"/>
      <c r="G278" s="428"/>
      <c r="H278" s="428"/>
      <c r="I278" s="428"/>
      <c r="J278" s="428"/>
      <c r="K278" s="428"/>
      <c r="L278" s="428"/>
      <c r="M278" s="428"/>
      <c r="N278" s="428"/>
      <c r="O278" s="428"/>
      <c r="P278" s="428"/>
      <c r="Q278" s="428"/>
      <c r="S278" s="428"/>
      <c r="W278" s="428"/>
      <c r="X278" s="428"/>
    </row>
    <row r="279" spans="2:24" ht="12.75">
      <c r="B279" s="426"/>
      <c r="F279" s="428"/>
      <c r="G279" s="428"/>
      <c r="H279" s="428"/>
      <c r="I279" s="428"/>
      <c r="J279" s="428"/>
      <c r="K279" s="428"/>
      <c r="L279" s="428"/>
      <c r="M279" s="428"/>
      <c r="N279" s="428"/>
      <c r="O279" s="428"/>
      <c r="P279" s="428"/>
      <c r="Q279" s="428"/>
      <c r="S279" s="428"/>
      <c r="W279" s="428"/>
      <c r="X279" s="428"/>
    </row>
    <row r="280" spans="2:24" ht="12.75">
      <c r="B280" s="426"/>
      <c r="F280" s="428"/>
      <c r="G280" s="428"/>
      <c r="H280" s="428"/>
      <c r="I280" s="428"/>
      <c r="J280" s="428"/>
      <c r="K280" s="428"/>
      <c r="L280" s="428"/>
      <c r="M280" s="428"/>
      <c r="N280" s="428"/>
      <c r="O280" s="428"/>
      <c r="P280" s="428"/>
      <c r="Q280" s="428"/>
      <c r="S280" s="428"/>
      <c r="W280" s="428"/>
      <c r="X280" s="428"/>
    </row>
    <row r="281" spans="2:24" ht="12.75">
      <c r="B281" s="426"/>
      <c r="F281" s="428"/>
      <c r="G281" s="428"/>
      <c r="H281" s="428"/>
      <c r="I281" s="428"/>
      <c r="J281" s="428"/>
      <c r="K281" s="428"/>
      <c r="L281" s="428"/>
      <c r="M281" s="428"/>
      <c r="N281" s="428"/>
      <c r="O281" s="428"/>
      <c r="P281" s="428"/>
      <c r="Q281" s="428"/>
      <c r="S281" s="428"/>
      <c r="W281" s="428"/>
      <c r="X281" s="428"/>
    </row>
    <row r="282" spans="2:24" ht="12.75">
      <c r="B282" s="426"/>
      <c r="F282" s="428"/>
      <c r="G282" s="428"/>
      <c r="H282" s="428"/>
      <c r="I282" s="428"/>
      <c r="J282" s="428"/>
      <c r="K282" s="428"/>
      <c r="L282" s="428"/>
      <c r="M282" s="428"/>
      <c r="N282" s="428"/>
      <c r="O282" s="428"/>
      <c r="P282" s="428"/>
      <c r="Q282" s="428"/>
      <c r="S282" s="428"/>
      <c r="W282" s="428"/>
      <c r="X282" s="428"/>
    </row>
    <row r="283" spans="2:24" ht="12.75">
      <c r="B283" s="426"/>
      <c r="F283" s="428"/>
      <c r="G283" s="428"/>
      <c r="H283" s="428"/>
      <c r="I283" s="428"/>
      <c r="J283" s="428"/>
      <c r="K283" s="428"/>
      <c r="L283" s="428"/>
      <c r="M283" s="428"/>
      <c r="N283" s="428"/>
      <c r="O283" s="428"/>
      <c r="P283" s="428"/>
      <c r="Q283" s="428"/>
      <c r="S283" s="428"/>
      <c r="W283" s="428"/>
      <c r="X283" s="428"/>
    </row>
    <row r="284" spans="2:24" ht="12.75">
      <c r="B284" s="426"/>
      <c r="F284" s="428"/>
      <c r="G284" s="428"/>
      <c r="H284" s="428"/>
      <c r="I284" s="428"/>
      <c r="J284" s="428"/>
      <c r="K284" s="428"/>
      <c r="L284" s="428"/>
      <c r="M284" s="428"/>
      <c r="N284" s="428"/>
      <c r="O284" s="428"/>
      <c r="P284" s="428"/>
      <c r="Q284" s="428"/>
      <c r="S284" s="428"/>
      <c r="W284" s="428"/>
      <c r="X284" s="428"/>
    </row>
    <row r="285" spans="2:24" ht="12.75">
      <c r="B285" s="426"/>
      <c r="F285" s="428"/>
      <c r="G285" s="428"/>
      <c r="H285" s="428"/>
      <c r="I285" s="428"/>
      <c r="J285" s="428"/>
      <c r="K285" s="428"/>
      <c r="L285" s="428"/>
      <c r="M285" s="428"/>
      <c r="N285" s="428"/>
      <c r="O285" s="428"/>
      <c r="P285" s="428"/>
      <c r="Q285" s="428"/>
      <c r="S285" s="428"/>
      <c r="W285" s="428"/>
      <c r="X285" s="428"/>
    </row>
    <row r="286" spans="2:24" ht="12.75">
      <c r="B286" s="426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S286" s="428"/>
      <c r="W286" s="428"/>
      <c r="X286" s="428"/>
    </row>
    <row r="287" spans="2:24" ht="12.75">
      <c r="B287" s="426"/>
      <c r="F287" s="428"/>
      <c r="G287" s="428"/>
      <c r="H287" s="428"/>
      <c r="I287" s="428"/>
      <c r="J287" s="428"/>
      <c r="K287" s="428"/>
      <c r="L287" s="428"/>
      <c r="M287" s="428"/>
      <c r="N287" s="428"/>
      <c r="O287" s="428"/>
      <c r="P287" s="428"/>
      <c r="Q287" s="428"/>
      <c r="S287" s="428"/>
      <c r="W287" s="428"/>
      <c r="X287" s="428"/>
    </row>
    <row r="288" spans="2:24" ht="12.75">
      <c r="B288" s="426"/>
      <c r="F288" s="428"/>
      <c r="G288" s="428"/>
      <c r="H288" s="428"/>
      <c r="I288" s="428"/>
      <c r="J288" s="428"/>
      <c r="K288" s="428"/>
      <c r="L288" s="428"/>
      <c r="M288" s="428"/>
      <c r="N288" s="428"/>
      <c r="O288" s="428"/>
      <c r="P288" s="428"/>
      <c r="Q288" s="428"/>
      <c r="S288" s="428"/>
      <c r="W288" s="428"/>
      <c r="X288" s="428"/>
    </row>
    <row r="289" spans="2:24" ht="12.75">
      <c r="B289" s="426"/>
      <c r="F289" s="428"/>
      <c r="G289" s="428"/>
      <c r="H289" s="428"/>
      <c r="I289" s="428"/>
      <c r="J289" s="428"/>
      <c r="K289" s="428"/>
      <c r="L289" s="428"/>
      <c r="M289" s="428"/>
      <c r="N289" s="428"/>
      <c r="O289" s="428"/>
      <c r="P289" s="428"/>
      <c r="Q289" s="428"/>
      <c r="S289" s="428"/>
      <c r="W289" s="428"/>
      <c r="X289" s="428"/>
    </row>
    <row r="290" spans="2:24" ht="12.75">
      <c r="B290" s="426"/>
      <c r="F290" s="428"/>
      <c r="G290" s="428"/>
      <c r="H290" s="428"/>
      <c r="I290" s="428"/>
      <c r="J290" s="428"/>
      <c r="K290" s="428"/>
      <c r="L290" s="428"/>
      <c r="M290" s="428"/>
      <c r="N290" s="428"/>
      <c r="O290" s="428"/>
      <c r="P290" s="428"/>
      <c r="Q290" s="428"/>
      <c r="S290" s="428"/>
      <c r="W290" s="428"/>
      <c r="X290" s="428"/>
    </row>
    <row r="291" spans="2:24" ht="12.75">
      <c r="B291" s="426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S291" s="428"/>
      <c r="W291" s="428"/>
      <c r="X291" s="428"/>
    </row>
    <row r="292" spans="2:24" ht="12.75">
      <c r="B292" s="426"/>
      <c r="F292" s="428"/>
      <c r="G292" s="428"/>
      <c r="H292" s="428"/>
      <c r="I292" s="428"/>
      <c r="J292" s="428"/>
      <c r="K292" s="428"/>
      <c r="L292" s="428"/>
      <c r="M292" s="428"/>
      <c r="N292" s="428"/>
      <c r="O292" s="428"/>
      <c r="P292" s="428"/>
      <c r="Q292" s="428"/>
      <c r="S292" s="428"/>
      <c r="W292" s="428"/>
      <c r="X292" s="428"/>
    </row>
    <row r="293" spans="2:24" ht="12.75">
      <c r="B293" s="426"/>
      <c r="F293" s="428"/>
      <c r="G293" s="428"/>
      <c r="H293" s="428"/>
      <c r="I293" s="428"/>
      <c r="J293" s="428"/>
      <c r="K293" s="428"/>
      <c r="L293" s="428"/>
      <c r="M293" s="428"/>
      <c r="N293" s="428"/>
      <c r="O293" s="428"/>
      <c r="P293" s="428"/>
      <c r="Q293" s="428"/>
      <c r="S293" s="428"/>
      <c r="W293" s="428"/>
      <c r="X293" s="428"/>
    </row>
    <row r="294" spans="2:24" ht="12.75">
      <c r="B294" s="426"/>
      <c r="F294" s="428"/>
      <c r="G294" s="428"/>
      <c r="H294" s="428"/>
      <c r="I294" s="428"/>
      <c r="J294" s="428"/>
      <c r="K294" s="428"/>
      <c r="L294" s="428"/>
      <c r="M294" s="428"/>
      <c r="N294" s="428"/>
      <c r="O294" s="428"/>
      <c r="P294" s="428"/>
      <c r="Q294" s="428"/>
      <c r="S294" s="428"/>
      <c r="W294" s="428"/>
      <c r="X294" s="428"/>
    </row>
    <row r="295" spans="2:24" ht="12.75">
      <c r="B295" s="426"/>
      <c r="F295" s="428"/>
      <c r="G295" s="428"/>
      <c r="H295" s="428"/>
      <c r="I295" s="428"/>
      <c r="J295" s="428"/>
      <c r="K295" s="428"/>
      <c r="L295" s="428"/>
      <c r="M295" s="428"/>
      <c r="N295" s="428"/>
      <c r="O295" s="428"/>
      <c r="P295" s="428"/>
      <c r="Q295" s="428"/>
      <c r="S295" s="428"/>
      <c r="W295" s="428"/>
      <c r="X295" s="428"/>
    </row>
    <row r="296" spans="2:24" ht="12.75">
      <c r="B296" s="426"/>
      <c r="F296" s="428"/>
      <c r="G296" s="428"/>
      <c r="H296" s="428"/>
      <c r="I296" s="428"/>
      <c r="J296" s="428"/>
      <c r="K296" s="428"/>
      <c r="L296" s="428"/>
      <c r="M296" s="428"/>
      <c r="N296" s="428"/>
      <c r="O296" s="428"/>
      <c r="P296" s="428"/>
      <c r="Q296" s="428"/>
      <c r="S296" s="428"/>
      <c r="W296" s="428"/>
      <c r="X296" s="428"/>
    </row>
    <row r="297" spans="2:24" ht="12.75">
      <c r="B297" s="426"/>
      <c r="F297" s="428"/>
      <c r="G297" s="428"/>
      <c r="H297" s="428"/>
      <c r="I297" s="428"/>
      <c r="J297" s="428"/>
      <c r="K297" s="428"/>
      <c r="L297" s="428"/>
      <c r="M297" s="428"/>
      <c r="N297" s="428"/>
      <c r="O297" s="428"/>
      <c r="P297" s="428"/>
      <c r="Q297" s="428"/>
      <c r="S297" s="428"/>
      <c r="W297" s="428"/>
      <c r="X297" s="428"/>
    </row>
    <row r="298" spans="2:24" ht="12.75">
      <c r="B298" s="426"/>
      <c r="F298" s="428"/>
      <c r="G298" s="428"/>
      <c r="H298" s="428"/>
      <c r="I298" s="428"/>
      <c r="J298" s="428"/>
      <c r="K298" s="428"/>
      <c r="L298" s="428"/>
      <c r="M298" s="428"/>
      <c r="N298" s="428"/>
      <c r="O298" s="428"/>
      <c r="P298" s="428"/>
      <c r="Q298" s="428"/>
      <c r="S298" s="428"/>
      <c r="W298" s="428"/>
      <c r="X298" s="428"/>
    </row>
    <row r="299" spans="2:24" ht="12.75">
      <c r="B299" s="426"/>
      <c r="F299" s="428"/>
      <c r="G299" s="428"/>
      <c r="H299" s="428"/>
      <c r="I299" s="428"/>
      <c r="J299" s="428"/>
      <c r="K299" s="428"/>
      <c r="L299" s="428"/>
      <c r="M299" s="428"/>
      <c r="N299" s="428"/>
      <c r="O299" s="428"/>
      <c r="P299" s="428"/>
      <c r="Q299" s="428"/>
      <c r="S299" s="428"/>
      <c r="W299" s="428"/>
      <c r="X299" s="428"/>
    </row>
    <row r="300" spans="2:24" ht="12.75">
      <c r="B300" s="426"/>
      <c r="F300" s="428"/>
      <c r="G300" s="428"/>
      <c r="H300" s="428"/>
      <c r="I300" s="428"/>
      <c r="J300" s="428"/>
      <c r="K300" s="428"/>
      <c r="L300" s="428"/>
      <c r="M300" s="428"/>
      <c r="N300" s="428"/>
      <c r="O300" s="428"/>
      <c r="P300" s="428"/>
      <c r="Q300" s="428"/>
      <c r="S300" s="428"/>
      <c r="W300" s="428"/>
      <c r="X300" s="428"/>
    </row>
    <row r="301" spans="2:24" ht="12.75">
      <c r="B301" s="426"/>
      <c r="F301" s="428"/>
      <c r="G301" s="428"/>
      <c r="H301" s="428"/>
      <c r="I301" s="428"/>
      <c r="J301" s="428"/>
      <c r="K301" s="428"/>
      <c r="L301" s="428"/>
      <c r="M301" s="428"/>
      <c r="N301" s="428"/>
      <c r="O301" s="428"/>
      <c r="P301" s="428"/>
      <c r="Q301" s="428"/>
      <c r="S301" s="428"/>
      <c r="W301" s="428"/>
      <c r="X301" s="428"/>
    </row>
    <row r="302" spans="2:24" ht="12.75">
      <c r="B302" s="426"/>
      <c r="F302" s="428"/>
      <c r="G302" s="428"/>
      <c r="H302" s="428"/>
      <c r="I302" s="428"/>
      <c r="J302" s="428"/>
      <c r="K302" s="428"/>
      <c r="L302" s="428"/>
      <c r="M302" s="428"/>
      <c r="N302" s="428"/>
      <c r="O302" s="428"/>
      <c r="P302" s="428"/>
      <c r="Q302" s="428"/>
      <c r="S302" s="428"/>
      <c r="W302" s="428"/>
      <c r="X302" s="428"/>
    </row>
    <row r="303" spans="2:24" ht="12.75">
      <c r="B303" s="426"/>
      <c r="F303" s="428"/>
      <c r="G303" s="428"/>
      <c r="H303" s="428"/>
      <c r="I303" s="428"/>
      <c r="J303" s="428"/>
      <c r="K303" s="428"/>
      <c r="L303" s="428"/>
      <c r="M303" s="428"/>
      <c r="N303" s="428"/>
      <c r="O303" s="428"/>
      <c r="P303" s="428"/>
      <c r="Q303" s="428"/>
      <c r="S303" s="428"/>
      <c r="W303" s="428"/>
      <c r="X303" s="428"/>
    </row>
    <row r="304" spans="2:24" ht="12.75">
      <c r="B304" s="426"/>
      <c r="F304" s="428"/>
      <c r="G304" s="428"/>
      <c r="H304" s="428"/>
      <c r="I304" s="428"/>
      <c r="J304" s="428"/>
      <c r="K304" s="428"/>
      <c r="L304" s="428"/>
      <c r="M304" s="428"/>
      <c r="N304" s="428"/>
      <c r="O304" s="428"/>
      <c r="P304" s="428"/>
      <c r="Q304" s="428"/>
      <c r="S304" s="428"/>
      <c r="W304" s="428"/>
      <c r="X304" s="428"/>
    </row>
    <row r="305" spans="2:24" ht="12.75">
      <c r="B305" s="426"/>
      <c r="F305" s="428"/>
      <c r="G305" s="428"/>
      <c r="H305" s="428"/>
      <c r="I305" s="428"/>
      <c r="J305" s="428"/>
      <c r="K305" s="428"/>
      <c r="L305" s="428"/>
      <c r="M305" s="428"/>
      <c r="N305" s="428"/>
      <c r="O305" s="428"/>
      <c r="P305" s="428"/>
      <c r="Q305" s="428"/>
      <c r="S305" s="428"/>
      <c r="W305" s="428"/>
      <c r="X305" s="428"/>
    </row>
    <row r="306" spans="2:24" ht="12.75">
      <c r="B306" s="426"/>
      <c r="F306" s="428"/>
      <c r="G306" s="428"/>
      <c r="H306" s="428"/>
      <c r="I306" s="428"/>
      <c r="J306" s="428"/>
      <c r="K306" s="428"/>
      <c r="L306" s="428"/>
      <c r="M306" s="428"/>
      <c r="N306" s="428"/>
      <c r="O306" s="428"/>
      <c r="P306" s="428"/>
      <c r="Q306" s="428"/>
      <c r="S306" s="428"/>
      <c r="W306" s="428"/>
      <c r="X306" s="428"/>
    </row>
    <row r="307" spans="2:24" ht="12.75">
      <c r="B307" s="426"/>
      <c r="F307" s="428"/>
      <c r="G307" s="428"/>
      <c r="H307" s="428"/>
      <c r="I307" s="428"/>
      <c r="J307" s="428"/>
      <c r="K307" s="428"/>
      <c r="L307" s="428"/>
      <c r="M307" s="428"/>
      <c r="N307" s="428"/>
      <c r="O307" s="428"/>
      <c r="P307" s="428"/>
      <c r="Q307" s="428"/>
      <c r="S307" s="428"/>
      <c r="W307" s="428"/>
      <c r="X307" s="428"/>
    </row>
    <row r="308" spans="2:24" ht="12.75">
      <c r="B308" s="426"/>
      <c r="F308" s="428"/>
      <c r="G308" s="428"/>
      <c r="H308" s="428"/>
      <c r="I308" s="428"/>
      <c r="J308" s="428"/>
      <c r="K308" s="428"/>
      <c r="L308" s="428"/>
      <c r="M308" s="428"/>
      <c r="N308" s="428"/>
      <c r="O308" s="428"/>
      <c r="P308" s="428"/>
      <c r="Q308" s="428"/>
      <c r="S308" s="428"/>
      <c r="W308" s="428"/>
      <c r="X308" s="428"/>
    </row>
    <row r="309" spans="2:24" ht="12.75">
      <c r="B309" s="426"/>
      <c r="F309" s="428"/>
      <c r="G309" s="428"/>
      <c r="H309" s="428"/>
      <c r="I309" s="428"/>
      <c r="J309" s="428"/>
      <c r="K309" s="428"/>
      <c r="L309" s="428"/>
      <c r="M309" s="428"/>
      <c r="N309" s="428"/>
      <c r="O309" s="428"/>
      <c r="P309" s="428"/>
      <c r="Q309" s="428"/>
      <c r="S309" s="428"/>
      <c r="W309" s="428"/>
      <c r="X309" s="428"/>
    </row>
    <row r="310" spans="2:24" ht="12.75">
      <c r="B310" s="426"/>
      <c r="F310" s="428"/>
      <c r="G310" s="428"/>
      <c r="H310" s="428"/>
      <c r="I310" s="428"/>
      <c r="J310" s="428"/>
      <c r="K310" s="428"/>
      <c r="L310" s="428"/>
      <c r="M310" s="428"/>
      <c r="N310" s="428"/>
      <c r="O310" s="428"/>
      <c r="P310" s="428"/>
      <c r="Q310" s="428"/>
      <c r="S310" s="428"/>
      <c r="W310" s="428"/>
      <c r="X310" s="428"/>
    </row>
    <row r="311" spans="2:24" ht="12.75">
      <c r="B311" s="426"/>
      <c r="F311" s="428"/>
      <c r="G311" s="428"/>
      <c r="H311" s="428"/>
      <c r="I311" s="428"/>
      <c r="J311" s="428"/>
      <c r="K311" s="428"/>
      <c r="L311" s="428"/>
      <c r="M311" s="428"/>
      <c r="N311" s="428"/>
      <c r="O311" s="428"/>
      <c r="P311" s="428"/>
      <c r="Q311" s="428"/>
      <c r="S311" s="428"/>
      <c r="W311" s="428"/>
      <c r="X311" s="428"/>
    </row>
    <row r="312" spans="2:24" ht="12.75">
      <c r="B312" s="426"/>
      <c r="F312" s="428"/>
      <c r="G312" s="428"/>
      <c r="H312" s="428"/>
      <c r="I312" s="428"/>
      <c r="J312" s="428"/>
      <c r="K312" s="428"/>
      <c r="L312" s="428"/>
      <c r="M312" s="428"/>
      <c r="N312" s="428"/>
      <c r="O312" s="428"/>
      <c r="P312" s="428"/>
      <c r="Q312" s="428"/>
      <c r="S312" s="428"/>
      <c r="W312" s="428"/>
      <c r="X312" s="428"/>
    </row>
    <row r="313" spans="2:24" ht="12.75">
      <c r="B313" s="426"/>
      <c r="F313" s="428"/>
      <c r="G313" s="428"/>
      <c r="H313" s="428"/>
      <c r="I313" s="428"/>
      <c r="J313" s="428"/>
      <c r="K313" s="428"/>
      <c r="L313" s="428"/>
      <c r="M313" s="428"/>
      <c r="N313" s="428"/>
      <c r="O313" s="428"/>
      <c r="P313" s="428"/>
      <c r="Q313" s="428"/>
      <c r="S313" s="428"/>
      <c r="W313" s="428"/>
      <c r="X313" s="428"/>
    </row>
    <row r="314" spans="2:24" ht="12.75">
      <c r="B314" s="426"/>
      <c r="F314" s="428"/>
      <c r="G314" s="428"/>
      <c r="H314" s="428"/>
      <c r="I314" s="428"/>
      <c r="J314" s="428"/>
      <c r="K314" s="428"/>
      <c r="L314" s="428"/>
      <c r="M314" s="428"/>
      <c r="N314" s="428"/>
      <c r="O314" s="428"/>
      <c r="P314" s="428"/>
      <c r="Q314" s="428"/>
      <c r="S314" s="428"/>
      <c r="W314" s="428"/>
      <c r="X314" s="428"/>
    </row>
    <row r="315" spans="2:24" ht="12.75">
      <c r="B315" s="426"/>
      <c r="F315" s="428"/>
      <c r="G315" s="428"/>
      <c r="H315" s="428"/>
      <c r="I315" s="428"/>
      <c r="J315" s="428"/>
      <c r="K315" s="428"/>
      <c r="L315" s="428"/>
      <c r="M315" s="428"/>
      <c r="N315" s="428"/>
      <c r="O315" s="428"/>
      <c r="P315" s="428"/>
      <c r="Q315" s="428"/>
      <c r="S315" s="428"/>
      <c r="W315" s="428"/>
      <c r="X315" s="428"/>
    </row>
    <row r="316" spans="2:24" ht="12.75">
      <c r="B316" s="426"/>
      <c r="F316" s="428"/>
      <c r="G316" s="428"/>
      <c r="H316" s="428"/>
      <c r="I316" s="428"/>
      <c r="J316" s="428"/>
      <c r="K316" s="428"/>
      <c r="L316" s="428"/>
      <c r="M316" s="428"/>
      <c r="N316" s="428"/>
      <c r="O316" s="428"/>
      <c r="P316" s="428"/>
      <c r="Q316" s="428"/>
      <c r="S316" s="428"/>
      <c r="W316" s="428"/>
      <c r="X316" s="428"/>
    </row>
    <row r="317" spans="2:24" ht="12.75">
      <c r="B317" s="426"/>
      <c r="F317" s="428"/>
      <c r="G317" s="428"/>
      <c r="H317" s="428"/>
      <c r="I317" s="428"/>
      <c r="J317" s="428"/>
      <c r="K317" s="428"/>
      <c r="L317" s="428"/>
      <c r="M317" s="428"/>
      <c r="N317" s="428"/>
      <c r="O317" s="428"/>
      <c r="P317" s="428"/>
      <c r="Q317" s="428"/>
      <c r="S317" s="428"/>
      <c r="W317" s="428"/>
      <c r="X317" s="428"/>
    </row>
    <row r="318" spans="2:24" ht="12.75">
      <c r="B318" s="426"/>
      <c r="F318" s="428"/>
      <c r="G318" s="428"/>
      <c r="H318" s="428"/>
      <c r="I318" s="428"/>
      <c r="J318" s="428"/>
      <c r="K318" s="428"/>
      <c r="L318" s="428"/>
      <c r="M318" s="428"/>
      <c r="N318" s="428"/>
      <c r="O318" s="428"/>
      <c r="P318" s="428"/>
      <c r="Q318" s="428"/>
      <c r="S318" s="428"/>
      <c r="W318" s="428"/>
      <c r="X318" s="428"/>
    </row>
    <row r="319" spans="2:24" ht="12.75">
      <c r="B319" s="426"/>
      <c r="F319" s="428"/>
      <c r="G319" s="428"/>
      <c r="H319" s="428"/>
      <c r="I319" s="428"/>
      <c r="J319" s="428"/>
      <c r="K319" s="428"/>
      <c r="L319" s="428"/>
      <c r="M319" s="428"/>
      <c r="N319" s="428"/>
      <c r="O319" s="428"/>
      <c r="P319" s="428"/>
      <c r="Q319" s="428"/>
      <c r="S319" s="428"/>
      <c r="W319" s="428"/>
      <c r="X319" s="428"/>
    </row>
    <row r="320" spans="2:24" ht="12.75">
      <c r="B320" s="426"/>
      <c r="F320" s="428"/>
      <c r="G320" s="428"/>
      <c r="H320" s="428"/>
      <c r="I320" s="428"/>
      <c r="J320" s="428"/>
      <c r="K320" s="428"/>
      <c r="L320" s="428"/>
      <c r="M320" s="428"/>
      <c r="N320" s="428"/>
      <c r="O320" s="428"/>
      <c r="P320" s="428"/>
      <c r="Q320" s="428"/>
      <c r="S320" s="428"/>
      <c r="W320" s="428"/>
      <c r="X320" s="428"/>
    </row>
    <row r="321" spans="2:24" ht="12.75">
      <c r="B321" s="426"/>
      <c r="F321" s="428"/>
      <c r="G321" s="428"/>
      <c r="H321" s="428"/>
      <c r="I321" s="428"/>
      <c r="J321" s="428"/>
      <c r="K321" s="428"/>
      <c r="L321" s="428"/>
      <c r="M321" s="428"/>
      <c r="N321" s="428"/>
      <c r="O321" s="428"/>
      <c r="P321" s="428"/>
      <c r="Q321" s="428"/>
      <c r="S321" s="428"/>
      <c r="W321" s="428"/>
      <c r="X321" s="428"/>
    </row>
    <row r="322" spans="2:24" ht="12.75">
      <c r="B322" s="426"/>
      <c r="F322" s="428"/>
      <c r="G322" s="428"/>
      <c r="H322" s="428"/>
      <c r="I322" s="428"/>
      <c r="J322" s="428"/>
      <c r="K322" s="428"/>
      <c r="L322" s="428"/>
      <c r="M322" s="428"/>
      <c r="N322" s="428"/>
      <c r="O322" s="428"/>
      <c r="P322" s="428"/>
      <c r="Q322" s="428"/>
      <c r="S322" s="428"/>
      <c r="W322" s="428"/>
      <c r="X322" s="428"/>
    </row>
    <row r="323" spans="2:24" ht="12.75">
      <c r="B323" s="426"/>
      <c r="F323" s="428"/>
      <c r="G323" s="428"/>
      <c r="H323" s="428"/>
      <c r="I323" s="428"/>
      <c r="J323" s="428"/>
      <c r="K323" s="428"/>
      <c r="L323" s="428"/>
      <c r="M323" s="428"/>
      <c r="N323" s="428"/>
      <c r="O323" s="428"/>
      <c r="P323" s="428"/>
      <c r="Q323" s="428"/>
      <c r="S323" s="428"/>
      <c r="W323" s="428"/>
      <c r="X323" s="428"/>
    </row>
    <row r="324" spans="2:24" ht="12.75">
      <c r="B324" s="426"/>
      <c r="F324" s="428"/>
      <c r="G324" s="428"/>
      <c r="H324" s="428"/>
      <c r="I324" s="428"/>
      <c r="J324" s="428"/>
      <c r="K324" s="428"/>
      <c r="L324" s="428"/>
      <c r="M324" s="428"/>
      <c r="N324" s="428"/>
      <c r="O324" s="428"/>
      <c r="P324" s="428"/>
      <c r="Q324" s="428"/>
      <c r="S324" s="428"/>
      <c r="W324" s="428"/>
      <c r="X324" s="428"/>
    </row>
    <row r="325" spans="2:24" ht="12.75">
      <c r="B325" s="426"/>
      <c r="F325" s="428"/>
      <c r="G325" s="428"/>
      <c r="H325" s="428"/>
      <c r="I325" s="428"/>
      <c r="J325" s="428"/>
      <c r="K325" s="428"/>
      <c r="L325" s="428"/>
      <c r="M325" s="428"/>
      <c r="N325" s="428"/>
      <c r="O325" s="428"/>
      <c r="P325" s="428"/>
      <c r="Q325" s="428"/>
      <c r="S325" s="428"/>
      <c r="W325" s="428"/>
      <c r="X325" s="428"/>
    </row>
    <row r="326" spans="2:24" ht="12.75">
      <c r="B326" s="426"/>
      <c r="F326" s="428"/>
      <c r="G326" s="428"/>
      <c r="H326" s="428"/>
      <c r="I326" s="428"/>
      <c r="J326" s="428"/>
      <c r="K326" s="428"/>
      <c r="L326" s="428"/>
      <c r="M326" s="428"/>
      <c r="N326" s="428"/>
      <c r="O326" s="428"/>
      <c r="P326" s="428"/>
      <c r="Q326" s="428"/>
      <c r="S326" s="428"/>
      <c r="W326" s="428"/>
      <c r="X326" s="428"/>
    </row>
    <row r="327" spans="2:24" ht="12.75">
      <c r="B327" s="426"/>
      <c r="F327" s="428"/>
      <c r="G327" s="428"/>
      <c r="H327" s="428"/>
      <c r="I327" s="428"/>
      <c r="J327" s="428"/>
      <c r="K327" s="428"/>
      <c r="L327" s="428"/>
      <c r="M327" s="428"/>
      <c r="N327" s="428"/>
      <c r="O327" s="428"/>
      <c r="P327" s="428"/>
      <c r="Q327" s="428"/>
      <c r="S327" s="428"/>
      <c r="W327" s="428"/>
      <c r="X327" s="428"/>
    </row>
    <row r="328" spans="2:24" ht="12.75">
      <c r="B328" s="426"/>
      <c r="F328" s="428"/>
      <c r="G328" s="428"/>
      <c r="H328" s="428"/>
      <c r="I328" s="428"/>
      <c r="J328" s="428"/>
      <c r="K328" s="428"/>
      <c r="L328" s="428"/>
      <c r="M328" s="428"/>
      <c r="N328" s="428"/>
      <c r="O328" s="428"/>
      <c r="P328" s="428"/>
      <c r="Q328" s="428"/>
      <c r="S328" s="428"/>
      <c r="W328" s="428"/>
      <c r="X328" s="428"/>
    </row>
    <row r="329" spans="2:24" ht="12.75">
      <c r="B329" s="426"/>
      <c r="F329" s="428"/>
      <c r="G329" s="428"/>
      <c r="H329" s="428"/>
      <c r="I329" s="428"/>
      <c r="J329" s="428"/>
      <c r="K329" s="428"/>
      <c r="L329" s="428"/>
      <c r="M329" s="428"/>
      <c r="N329" s="428"/>
      <c r="O329" s="428"/>
      <c r="P329" s="428"/>
      <c r="Q329" s="428"/>
      <c r="S329" s="428"/>
      <c r="W329" s="428"/>
      <c r="X329" s="428"/>
    </row>
    <row r="330" spans="2:24" ht="12.75">
      <c r="B330" s="426"/>
      <c r="F330" s="428"/>
      <c r="G330" s="428"/>
      <c r="H330" s="428"/>
      <c r="I330" s="428"/>
      <c r="J330" s="428"/>
      <c r="K330" s="428"/>
      <c r="L330" s="428"/>
      <c r="M330" s="428"/>
      <c r="N330" s="428"/>
      <c r="O330" s="428"/>
      <c r="P330" s="428"/>
      <c r="Q330" s="428"/>
      <c r="S330" s="428"/>
      <c r="W330" s="428"/>
      <c r="X330" s="428"/>
    </row>
    <row r="331" spans="2:24" ht="12.75">
      <c r="B331" s="426"/>
      <c r="F331" s="428"/>
      <c r="G331" s="428"/>
      <c r="H331" s="428"/>
      <c r="I331" s="428"/>
      <c r="J331" s="428"/>
      <c r="K331" s="428"/>
      <c r="L331" s="428"/>
      <c r="M331" s="428"/>
      <c r="N331" s="428"/>
      <c r="O331" s="428"/>
      <c r="P331" s="428"/>
      <c r="Q331" s="428"/>
      <c r="S331" s="428"/>
      <c r="W331" s="428"/>
      <c r="X331" s="428"/>
    </row>
    <row r="332" spans="2:24" ht="12.75">
      <c r="B332" s="426"/>
      <c r="F332" s="428"/>
      <c r="G332" s="428"/>
      <c r="H332" s="428"/>
      <c r="I332" s="428"/>
      <c r="J332" s="428"/>
      <c r="K332" s="428"/>
      <c r="L332" s="428"/>
      <c r="M332" s="428"/>
      <c r="N332" s="428"/>
      <c r="O332" s="428"/>
      <c r="P332" s="428"/>
      <c r="Q332" s="428"/>
      <c r="S332" s="428"/>
      <c r="W332" s="428"/>
      <c r="X332" s="428"/>
    </row>
    <row r="333" spans="2:24" ht="12.75">
      <c r="B333" s="426"/>
      <c r="F333" s="428"/>
      <c r="G333" s="428"/>
      <c r="H333" s="428"/>
      <c r="I333" s="428"/>
      <c r="J333" s="428"/>
      <c r="K333" s="428"/>
      <c r="L333" s="428"/>
      <c r="M333" s="428"/>
      <c r="N333" s="428"/>
      <c r="O333" s="428"/>
      <c r="P333" s="428"/>
      <c r="Q333" s="428"/>
      <c r="S333" s="428"/>
      <c r="W333" s="428"/>
      <c r="X333" s="428"/>
    </row>
    <row r="334" spans="2:24" ht="12.75">
      <c r="B334" s="426"/>
      <c r="F334" s="428"/>
      <c r="G334" s="428"/>
      <c r="H334" s="428"/>
      <c r="I334" s="428"/>
      <c r="J334" s="428"/>
      <c r="K334" s="428"/>
      <c r="L334" s="428"/>
      <c r="M334" s="428"/>
      <c r="N334" s="428"/>
      <c r="O334" s="428"/>
      <c r="P334" s="428"/>
      <c r="Q334" s="428"/>
      <c r="S334" s="428"/>
      <c r="W334" s="428"/>
      <c r="X334" s="428"/>
    </row>
    <row r="335" spans="2:24" ht="12.75">
      <c r="B335" s="426"/>
      <c r="F335" s="428"/>
      <c r="G335" s="428"/>
      <c r="H335" s="428"/>
      <c r="I335" s="428"/>
      <c r="J335" s="428"/>
      <c r="K335" s="428"/>
      <c r="L335" s="428"/>
      <c r="M335" s="428"/>
      <c r="N335" s="428"/>
      <c r="O335" s="428"/>
      <c r="P335" s="428"/>
      <c r="Q335" s="428"/>
      <c r="S335" s="428"/>
      <c r="W335" s="428"/>
      <c r="X335" s="428"/>
    </row>
    <row r="336" spans="2:24" ht="12.75">
      <c r="B336" s="426"/>
      <c r="F336" s="428"/>
      <c r="G336" s="428"/>
      <c r="H336" s="428"/>
      <c r="I336" s="428"/>
      <c r="J336" s="428"/>
      <c r="K336" s="428"/>
      <c r="L336" s="428"/>
      <c r="M336" s="428"/>
      <c r="N336" s="428"/>
      <c r="O336" s="428"/>
      <c r="P336" s="428"/>
      <c r="Q336" s="428"/>
      <c r="S336" s="428"/>
      <c r="W336" s="428"/>
      <c r="X336" s="428"/>
    </row>
    <row r="337" spans="2:24" ht="12.75">
      <c r="B337" s="426"/>
      <c r="F337" s="428"/>
      <c r="G337" s="428"/>
      <c r="H337" s="428"/>
      <c r="I337" s="428"/>
      <c r="J337" s="428"/>
      <c r="K337" s="428"/>
      <c r="L337" s="428"/>
      <c r="M337" s="428"/>
      <c r="N337" s="428"/>
      <c r="O337" s="428"/>
      <c r="P337" s="428"/>
      <c r="Q337" s="428"/>
      <c r="S337" s="428"/>
      <c r="W337" s="428"/>
      <c r="X337" s="428"/>
    </row>
    <row r="338" spans="2:24" ht="12.75">
      <c r="B338" s="426"/>
      <c r="F338" s="428"/>
      <c r="G338" s="428"/>
      <c r="H338" s="428"/>
      <c r="I338" s="428"/>
      <c r="J338" s="428"/>
      <c r="K338" s="428"/>
      <c r="L338" s="428"/>
      <c r="M338" s="428"/>
      <c r="N338" s="428"/>
      <c r="O338" s="428"/>
      <c r="P338" s="428"/>
      <c r="Q338" s="428"/>
      <c r="S338" s="428"/>
      <c r="W338" s="428"/>
      <c r="X338" s="428"/>
    </row>
    <row r="339" spans="2:24" ht="12.75">
      <c r="B339" s="426"/>
      <c r="F339" s="428"/>
      <c r="G339" s="428"/>
      <c r="H339" s="428"/>
      <c r="I339" s="428"/>
      <c r="J339" s="428"/>
      <c r="K339" s="428"/>
      <c r="L339" s="428"/>
      <c r="M339" s="428"/>
      <c r="N339" s="428"/>
      <c r="O339" s="428"/>
      <c r="P339" s="428"/>
      <c r="Q339" s="428"/>
      <c r="S339" s="428"/>
      <c r="W339" s="428"/>
      <c r="X339" s="428"/>
    </row>
    <row r="340" spans="2:24" ht="12.75">
      <c r="B340" s="426"/>
      <c r="F340" s="428"/>
      <c r="G340" s="428"/>
      <c r="H340" s="428"/>
      <c r="I340" s="428"/>
      <c r="J340" s="428"/>
      <c r="K340" s="428"/>
      <c r="L340" s="428"/>
      <c r="M340" s="428"/>
      <c r="N340" s="428"/>
      <c r="O340" s="428"/>
      <c r="P340" s="428"/>
      <c r="Q340" s="428"/>
      <c r="S340" s="428"/>
      <c r="W340" s="428"/>
      <c r="X340" s="428"/>
    </row>
    <row r="341" spans="2:24" ht="12.75">
      <c r="B341" s="426"/>
      <c r="F341" s="428"/>
      <c r="G341" s="428"/>
      <c r="H341" s="428"/>
      <c r="I341" s="428"/>
      <c r="J341" s="428"/>
      <c r="K341" s="428"/>
      <c r="L341" s="428"/>
      <c r="M341" s="428"/>
      <c r="N341" s="428"/>
      <c r="O341" s="428"/>
      <c r="P341" s="428"/>
      <c r="Q341" s="428"/>
      <c r="S341" s="428"/>
      <c r="W341" s="428"/>
      <c r="X341" s="428"/>
    </row>
    <row r="342" spans="2:24" ht="12.75">
      <c r="B342" s="426"/>
      <c r="F342" s="428"/>
      <c r="G342" s="428"/>
      <c r="H342" s="428"/>
      <c r="I342" s="428"/>
      <c r="J342" s="428"/>
      <c r="K342" s="428"/>
      <c r="L342" s="428"/>
      <c r="M342" s="428"/>
      <c r="N342" s="428"/>
      <c r="O342" s="428"/>
      <c r="P342" s="428"/>
      <c r="Q342" s="428"/>
      <c r="S342" s="428"/>
      <c r="W342" s="428"/>
      <c r="X342" s="428"/>
    </row>
    <row r="343" spans="2:24" ht="12.75">
      <c r="B343" s="426"/>
      <c r="F343" s="428"/>
      <c r="G343" s="428"/>
      <c r="H343" s="428"/>
      <c r="I343" s="428"/>
      <c r="J343" s="428"/>
      <c r="K343" s="428"/>
      <c r="L343" s="428"/>
      <c r="M343" s="428"/>
      <c r="N343" s="428"/>
      <c r="O343" s="428"/>
      <c r="P343" s="428"/>
      <c r="Q343" s="428"/>
      <c r="S343" s="428"/>
      <c r="W343" s="428"/>
      <c r="X343" s="428"/>
    </row>
    <row r="344" spans="2:24" ht="12.75">
      <c r="B344" s="426"/>
      <c r="F344" s="428"/>
      <c r="G344" s="428"/>
      <c r="H344" s="428"/>
      <c r="I344" s="428"/>
      <c r="J344" s="428"/>
      <c r="K344" s="428"/>
      <c r="L344" s="428"/>
      <c r="M344" s="428"/>
      <c r="N344" s="428"/>
      <c r="O344" s="428"/>
      <c r="P344" s="428"/>
      <c r="Q344" s="428"/>
      <c r="S344" s="428"/>
      <c r="W344" s="428"/>
      <c r="X344" s="428"/>
    </row>
    <row r="345" spans="2:24" ht="12.75">
      <c r="B345" s="426"/>
      <c r="F345" s="428"/>
      <c r="G345" s="428"/>
      <c r="H345" s="428"/>
      <c r="I345" s="428"/>
      <c r="J345" s="428"/>
      <c r="K345" s="428"/>
      <c r="L345" s="428"/>
      <c r="M345" s="428"/>
      <c r="N345" s="428"/>
      <c r="O345" s="428"/>
      <c r="P345" s="428"/>
      <c r="Q345" s="428"/>
      <c r="S345" s="428"/>
      <c r="W345" s="428"/>
      <c r="X345" s="428"/>
    </row>
    <row r="346" spans="2:24" ht="12.75">
      <c r="B346" s="426"/>
      <c r="F346" s="428"/>
      <c r="G346" s="428"/>
      <c r="H346" s="428"/>
      <c r="I346" s="428"/>
      <c r="J346" s="428"/>
      <c r="K346" s="428"/>
      <c r="L346" s="428"/>
      <c r="M346" s="428"/>
      <c r="N346" s="428"/>
      <c r="O346" s="428"/>
      <c r="P346" s="428"/>
      <c r="Q346" s="428"/>
      <c r="S346" s="428"/>
      <c r="W346" s="428"/>
      <c r="X346" s="428"/>
    </row>
    <row r="347" spans="2:24" ht="12.75">
      <c r="B347" s="426"/>
      <c r="F347" s="428"/>
      <c r="G347" s="428"/>
      <c r="H347" s="428"/>
      <c r="I347" s="428"/>
      <c r="J347" s="428"/>
      <c r="K347" s="428"/>
      <c r="L347" s="428"/>
      <c r="M347" s="428"/>
      <c r="N347" s="428"/>
      <c r="O347" s="428"/>
      <c r="P347" s="428"/>
      <c r="Q347" s="428"/>
      <c r="S347" s="428"/>
      <c r="W347" s="428"/>
      <c r="X347" s="428"/>
    </row>
    <row r="348" spans="2:24" ht="12.75">
      <c r="B348" s="426"/>
      <c r="F348" s="428"/>
      <c r="G348" s="428"/>
      <c r="H348" s="428"/>
      <c r="I348" s="428"/>
      <c r="J348" s="428"/>
      <c r="K348" s="428"/>
      <c r="L348" s="428"/>
      <c r="M348" s="428"/>
      <c r="N348" s="428"/>
      <c r="O348" s="428"/>
      <c r="P348" s="428"/>
      <c r="Q348" s="428"/>
      <c r="S348" s="428"/>
      <c r="W348" s="428"/>
      <c r="X348" s="428"/>
    </row>
    <row r="349" spans="2:24" ht="12.75">
      <c r="B349" s="426"/>
      <c r="F349" s="428"/>
      <c r="G349" s="428"/>
      <c r="H349" s="428"/>
      <c r="I349" s="428"/>
      <c r="J349" s="428"/>
      <c r="K349" s="428"/>
      <c r="L349" s="428"/>
      <c r="M349" s="428"/>
      <c r="N349" s="428"/>
      <c r="O349" s="428"/>
      <c r="P349" s="428"/>
      <c r="Q349" s="428"/>
      <c r="S349" s="428"/>
      <c r="W349" s="428"/>
      <c r="X349" s="428"/>
    </row>
    <row r="350" spans="2:24" ht="12.75">
      <c r="B350" s="426"/>
      <c r="F350" s="428"/>
      <c r="G350" s="428"/>
      <c r="H350" s="428"/>
      <c r="I350" s="428"/>
      <c r="J350" s="428"/>
      <c r="K350" s="428"/>
      <c r="L350" s="428"/>
      <c r="M350" s="428"/>
      <c r="N350" s="428"/>
      <c r="O350" s="428"/>
      <c r="P350" s="428"/>
      <c r="Q350" s="428"/>
      <c r="S350" s="428"/>
      <c r="W350" s="428"/>
      <c r="X350" s="428"/>
    </row>
    <row r="351" spans="2:24" ht="12.75">
      <c r="B351" s="426"/>
      <c r="F351" s="428"/>
      <c r="G351" s="428"/>
      <c r="H351" s="428"/>
      <c r="I351" s="428"/>
      <c r="J351" s="428"/>
      <c r="K351" s="428"/>
      <c r="L351" s="428"/>
      <c r="M351" s="428"/>
      <c r="N351" s="428"/>
      <c r="O351" s="428"/>
      <c r="P351" s="428"/>
      <c r="Q351" s="428"/>
      <c r="S351" s="428"/>
      <c r="W351" s="428"/>
      <c r="X351" s="428"/>
    </row>
    <row r="352" spans="2:24" ht="12.75">
      <c r="B352" s="426"/>
      <c r="F352" s="428"/>
      <c r="G352" s="428"/>
      <c r="H352" s="428"/>
      <c r="I352" s="428"/>
      <c r="J352" s="428"/>
      <c r="K352" s="428"/>
      <c r="L352" s="428"/>
      <c r="M352" s="428"/>
      <c r="N352" s="428"/>
      <c r="O352" s="428"/>
      <c r="P352" s="428"/>
      <c r="Q352" s="428"/>
      <c r="S352" s="428"/>
      <c r="W352" s="428"/>
      <c r="X352" s="428"/>
    </row>
    <row r="353" spans="2:24" ht="12.75">
      <c r="B353" s="426"/>
      <c r="F353" s="428"/>
      <c r="G353" s="428"/>
      <c r="H353" s="428"/>
      <c r="I353" s="428"/>
      <c r="J353" s="428"/>
      <c r="K353" s="428"/>
      <c r="L353" s="428"/>
      <c r="M353" s="428"/>
      <c r="N353" s="428"/>
      <c r="O353" s="428"/>
      <c r="P353" s="428"/>
      <c r="Q353" s="428"/>
      <c r="S353" s="428"/>
      <c r="W353" s="428"/>
      <c r="X353" s="428"/>
    </row>
    <row r="354" spans="2:24" ht="12.75">
      <c r="B354" s="426"/>
      <c r="F354" s="428"/>
      <c r="G354" s="428"/>
      <c r="H354" s="428"/>
      <c r="I354" s="428"/>
      <c r="J354" s="428"/>
      <c r="K354" s="428"/>
      <c r="L354" s="428"/>
      <c r="M354" s="428"/>
      <c r="N354" s="428"/>
      <c r="O354" s="428"/>
      <c r="P354" s="428"/>
      <c r="Q354" s="428"/>
      <c r="S354" s="428"/>
      <c r="W354" s="428"/>
      <c r="X354" s="428"/>
    </row>
    <row r="355" spans="2:24" ht="12.75">
      <c r="B355" s="426"/>
      <c r="F355" s="428"/>
      <c r="G355" s="428"/>
      <c r="H355" s="428"/>
      <c r="I355" s="428"/>
      <c r="J355" s="428"/>
      <c r="K355" s="428"/>
      <c r="L355" s="428"/>
      <c r="M355" s="428"/>
      <c r="N355" s="428"/>
      <c r="O355" s="428"/>
      <c r="P355" s="428"/>
      <c r="Q355" s="428"/>
      <c r="S355" s="428"/>
      <c r="W355" s="428"/>
      <c r="X355" s="428"/>
    </row>
    <row r="356" spans="2:24" ht="12.75">
      <c r="B356" s="426"/>
      <c r="F356" s="428"/>
      <c r="G356" s="428"/>
      <c r="H356" s="428"/>
      <c r="I356" s="428"/>
      <c r="J356" s="428"/>
      <c r="K356" s="428"/>
      <c r="L356" s="428"/>
      <c r="M356" s="428"/>
      <c r="N356" s="428"/>
      <c r="O356" s="428"/>
      <c r="P356" s="428"/>
      <c r="Q356" s="428"/>
      <c r="S356" s="428"/>
      <c r="W356" s="428"/>
      <c r="X356" s="428"/>
    </row>
    <row r="357" spans="2:24" ht="12.75">
      <c r="B357" s="426"/>
      <c r="F357" s="428"/>
      <c r="G357" s="428"/>
      <c r="H357" s="428"/>
      <c r="I357" s="428"/>
      <c r="J357" s="428"/>
      <c r="K357" s="428"/>
      <c r="L357" s="428"/>
      <c r="M357" s="428"/>
      <c r="N357" s="428"/>
      <c r="O357" s="428"/>
      <c r="P357" s="428"/>
      <c r="Q357" s="428"/>
      <c r="S357" s="428"/>
      <c r="W357" s="428"/>
      <c r="X357" s="428"/>
    </row>
    <row r="358" spans="2:24" ht="12.75">
      <c r="B358" s="426"/>
      <c r="F358" s="428"/>
      <c r="G358" s="428"/>
      <c r="H358" s="428"/>
      <c r="I358" s="428"/>
      <c r="J358" s="428"/>
      <c r="K358" s="428"/>
      <c r="L358" s="428"/>
      <c r="M358" s="428"/>
      <c r="N358" s="428"/>
      <c r="O358" s="428"/>
      <c r="P358" s="428"/>
      <c r="Q358" s="428"/>
      <c r="S358" s="428"/>
      <c r="W358" s="428"/>
      <c r="X358" s="428"/>
    </row>
    <row r="359" spans="2:24" ht="12.75">
      <c r="B359" s="426"/>
      <c r="F359" s="428"/>
      <c r="G359" s="428"/>
      <c r="H359" s="428"/>
      <c r="I359" s="428"/>
      <c r="J359" s="428"/>
      <c r="K359" s="428"/>
      <c r="L359" s="428"/>
      <c r="M359" s="428"/>
      <c r="N359" s="428"/>
      <c r="O359" s="428"/>
      <c r="P359" s="428"/>
      <c r="Q359" s="428"/>
      <c r="S359" s="428"/>
      <c r="W359" s="428"/>
      <c r="X359" s="428"/>
    </row>
    <row r="360" spans="2:24" ht="12.75">
      <c r="B360" s="426"/>
      <c r="F360" s="428"/>
      <c r="G360" s="428"/>
      <c r="H360" s="428"/>
      <c r="I360" s="428"/>
      <c r="J360" s="428"/>
      <c r="K360" s="428"/>
      <c r="L360" s="428"/>
      <c r="M360" s="428"/>
      <c r="N360" s="428"/>
      <c r="O360" s="428"/>
      <c r="P360" s="428"/>
      <c r="Q360" s="428"/>
      <c r="S360" s="428"/>
      <c r="W360" s="428"/>
      <c r="X360" s="428"/>
    </row>
    <row r="361" spans="2:24" ht="12.75">
      <c r="B361" s="426"/>
      <c r="F361" s="428"/>
      <c r="G361" s="428"/>
      <c r="H361" s="428"/>
      <c r="I361" s="428"/>
      <c r="J361" s="428"/>
      <c r="K361" s="428"/>
      <c r="L361" s="428"/>
      <c r="M361" s="428"/>
      <c r="N361" s="428"/>
      <c r="O361" s="428"/>
      <c r="P361" s="428"/>
      <c r="Q361" s="428"/>
      <c r="S361" s="428"/>
      <c r="W361" s="428"/>
      <c r="X361" s="428"/>
    </row>
    <row r="362" spans="2:24" ht="12.75">
      <c r="B362" s="426"/>
      <c r="F362" s="428"/>
      <c r="G362" s="428"/>
      <c r="H362" s="428"/>
      <c r="I362" s="428"/>
      <c r="J362" s="428"/>
      <c r="K362" s="428"/>
      <c r="L362" s="428"/>
      <c r="M362" s="428"/>
      <c r="N362" s="428"/>
      <c r="O362" s="428"/>
      <c r="P362" s="428"/>
      <c r="Q362" s="428"/>
      <c r="S362" s="428"/>
      <c r="W362" s="428"/>
      <c r="X362" s="428"/>
    </row>
    <row r="363" spans="2:24" ht="12.75">
      <c r="B363" s="426"/>
      <c r="F363" s="428"/>
      <c r="G363" s="428"/>
      <c r="H363" s="428"/>
      <c r="I363" s="428"/>
      <c r="J363" s="428"/>
      <c r="K363" s="428"/>
      <c r="L363" s="428"/>
      <c r="M363" s="428"/>
      <c r="N363" s="428"/>
      <c r="O363" s="428"/>
      <c r="P363" s="428"/>
      <c r="Q363" s="428"/>
      <c r="S363" s="428"/>
      <c r="W363" s="428"/>
      <c r="X363" s="428"/>
    </row>
    <row r="364" spans="2:24" ht="12.75">
      <c r="B364" s="426"/>
      <c r="F364" s="428"/>
      <c r="G364" s="428"/>
      <c r="H364" s="428"/>
      <c r="I364" s="428"/>
      <c r="J364" s="428"/>
      <c r="K364" s="428"/>
      <c r="L364" s="428"/>
      <c r="M364" s="428"/>
      <c r="N364" s="428"/>
      <c r="O364" s="428"/>
      <c r="P364" s="428"/>
      <c r="Q364" s="428"/>
      <c r="S364" s="428"/>
      <c r="W364" s="428"/>
      <c r="X364" s="428"/>
    </row>
    <row r="365" spans="2:24" ht="12.75">
      <c r="B365" s="426"/>
      <c r="F365" s="428"/>
      <c r="G365" s="428"/>
      <c r="H365" s="428"/>
      <c r="I365" s="428"/>
      <c r="J365" s="428"/>
      <c r="K365" s="428"/>
      <c r="L365" s="428"/>
      <c r="M365" s="428"/>
      <c r="N365" s="428"/>
      <c r="O365" s="428"/>
      <c r="P365" s="428"/>
      <c r="Q365" s="428"/>
      <c r="S365" s="428"/>
      <c r="W365" s="428"/>
      <c r="X365" s="428"/>
    </row>
    <row r="366" spans="2:24" ht="12.75">
      <c r="B366" s="426"/>
      <c r="F366" s="428"/>
      <c r="G366" s="428"/>
      <c r="H366" s="428"/>
      <c r="I366" s="428"/>
      <c r="J366" s="428"/>
      <c r="K366" s="428"/>
      <c r="L366" s="428"/>
      <c r="M366" s="428"/>
      <c r="N366" s="428"/>
      <c r="O366" s="428"/>
      <c r="P366" s="428"/>
      <c r="Q366" s="428"/>
      <c r="S366" s="428"/>
      <c r="W366" s="428"/>
      <c r="X366" s="428"/>
    </row>
    <row r="367" spans="2:24" ht="12.75">
      <c r="B367" s="426"/>
      <c r="F367" s="428"/>
      <c r="G367" s="428"/>
      <c r="H367" s="428"/>
      <c r="I367" s="428"/>
      <c r="J367" s="428"/>
      <c r="K367" s="428"/>
      <c r="L367" s="428"/>
      <c r="M367" s="428"/>
      <c r="N367" s="428"/>
      <c r="O367" s="428"/>
      <c r="P367" s="428"/>
      <c r="Q367" s="428"/>
      <c r="S367" s="428"/>
      <c r="W367" s="428"/>
      <c r="X367" s="428"/>
    </row>
    <row r="368" spans="2:24" ht="12.75">
      <c r="B368" s="426"/>
      <c r="F368" s="428"/>
      <c r="G368" s="428"/>
      <c r="H368" s="428"/>
      <c r="I368" s="428"/>
      <c r="J368" s="428"/>
      <c r="K368" s="428"/>
      <c r="L368" s="428"/>
      <c r="M368" s="428"/>
      <c r="N368" s="428"/>
      <c r="O368" s="428"/>
      <c r="P368" s="428"/>
      <c r="Q368" s="428"/>
      <c r="S368" s="428"/>
      <c r="W368" s="428"/>
      <c r="X368" s="428"/>
    </row>
    <row r="369" spans="2:24" ht="12.75">
      <c r="B369" s="426"/>
      <c r="F369" s="428"/>
      <c r="G369" s="428"/>
      <c r="H369" s="428"/>
      <c r="I369" s="428"/>
      <c r="J369" s="428"/>
      <c r="K369" s="428"/>
      <c r="L369" s="428"/>
      <c r="M369" s="428"/>
      <c r="N369" s="428"/>
      <c r="O369" s="428"/>
      <c r="P369" s="428"/>
      <c r="Q369" s="428"/>
      <c r="S369" s="428"/>
      <c r="W369" s="428"/>
      <c r="X369" s="428"/>
    </row>
    <row r="370" spans="2:24" ht="12.75">
      <c r="B370" s="426"/>
      <c r="F370" s="428"/>
      <c r="G370" s="428"/>
      <c r="H370" s="428"/>
      <c r="I370" s="428"/>
      <c r="J370" s="428"/>
      <c r="K370" s="428"/>
      <c r="L370" s="428"/>
      <c r="M370" s="428"/>
      <c r="N370" s="428"/>
      <c r="O370" s="428"/>
      <c r="P370" s="428"/>
      <c r="Q370" s="428"/>
      <c r="S370" s="428"/>
      <c r="W370" s="428"/>
      <c r="X370" s="428"/>
    </row>
    <row r="371" spans="2:24" ht="12.75">
      <c r="B371" s="426"/>
      <c r="F371" s="428"/>
      <c r="G371" s="428"/>
      <c r="H371" s="428"/>
      <c r="I371" s="428"/>
      <c r="J371" s="428"/>
      <c r="K371" s="428"/>
      <c r="L371" s="428"/>
      <c r="M371" s="428"/>
      <c r="N371" s="428"/>
      <c r="O371" s="428"/>
      <c r="P371" s="428"/>
      <c r="Q371" s="428"/>
      <c r="S371" s="428"/>
      <c r="W371" s="428"/>
      <c r="X371" s="428"/>
    </row>
    <row r="372" spans="2:24" ht="12.75">
      <c r="B372" s="426"/>
      <c r="F372" s="428"/>
      <c r="G372" s="428"/>
      <c r="H372" s="428"/>
      <c r="I372" s="428"/>
      <c r="J372" s="428"/>
      <c r="K372" s="428"/>
      <c r="L372" s="428"/>
      <c r="M372" s="428"/>
      <c r="N372" s="428"/>
      <c r="O372" s="428"/>
      <c r="P372" s="428"/>
      <c r="Q372" s="428"/>
      <c r="S372" s="428"/>
      <c r="W372" s="428"/>
      <c r="X372" s="428"/>
    </row>
    <row r="373" spans="2:24" ht="12.75">
      <c r="B373" s="426"/>
      <c r="F373" s="428"/>
      <c r="G373" s="428"/>
      <c r="H373" s="428"/>
      <c r="I373" s="428"/>
      <c r="J373" s="428"/>
      <c r="K373" s="428"/>
      <c r="L373" s="428"/>
      <c r="M373" s="428"/>
      <c r="N373" s="428"/>
      <c r="O373" s="428"/>
      <c r="P373" s="428"/>
      <c r="Q373" s="428"/>
      <c r="S373" s="428"/>
      <c r="W373" s="428"/>
      <c r="X373" s="428"/>
    </row>
    <row r="374" spans="2:24" ht="12.75">
      <c r="B374" s="426"/>
      <c r="F374" s="428"/>
      <c r="G374" s="428"/>
      <c r="H374" s="428"/>
      <c r="I374" s="428"/>
      <c r="J374" s="428"/>
      <c r="K374" s="428"/>
      <c r="L374" s="428"/>
      <c r="M374" s="428"/>
      <c r="N374" s="428"/>
      <c r="O374" s="428"/>
      <c r="P374" s="428"/>
      <c r="Q374" s="428"/>
      <c r="S374" s="428"/>
      <c r="W374" s="428"/>
      <c r="X374" s="428"/>
    </row>
    <row r="375" spans="2:24" ht="12.75">
      <c r="B375" s="426"/>
      <c r="F375" s="428"/>
      <c r="G375" s="428"/>
      <c r="H375" s="428"/>
      <c r="I375" s="428"/>
      <c r="J375" s="428"/>
      <c r="K375" s="428"/>
      <c r="L375" s="428"/>
      <c r="M375" s="428"/>
      <c r="N375" s="428"/>
      <c r="O375" s="428"/>
      <c r="P375" s="428"/>
      <c r="Q375" s="428"/>
      <c r="S375" s="428"/>
      <c r="W375" s="428"/>
      <c r="X375" s="428"/>
    </row>
    <row r="376" spans="2:24" ht="12.75">
      <c r="B376" s="426"/>
      <c r="F376" s="428"/>
      <c r="G376" s="428"/>
      <c r="H376" s="428"/>
      <c r="I376" s="428"/>
      <c r="J376" s="428"/>
      <c r="K376" s="428"/>
      <c r="L376" s="428"/>
      <c r="M376" s="428"/>
      <c r="N376" s="428"/>
      <c r="O376" s="428"/>
      <c r="P376" s="428"/>
      <c r="Q376" s="428"/>
      <c r="S376" s="428"/>
      <c r="W376" s="428"/>
      <c r="X376" s="428"/>
    </row>
    <row r="377" spans="2:24" ht="12.75">
      <c r="B377" s="426"/>
      <c r="F377" s="428"/>
      <c r="G377" s="428"/>
      <c r="H377" s="428"/>
      <c r="I377" s="428"/>
      <c r="J377" s="428"/>
      <c r="K377" s="428"/>
      <c r="L377" s="428"/>
      <c r="M377" s="428"/>
      <c r="N377" s="428"/>
      <c r="O377" s="428"/>
      <c r="P377" s="428"/>
      <c r="Q377" s="428"/>
      <c r="S377" s="428"/>
      <c r="W377" s="428"/>
      <c r="X377" s="428"/>
    </row>
    <row r="378" spans="2:24" ht="12.75">
      <c r="B378" s="426"/>
      <c r="F378" s="428"/>
      <c r="G378" s="428"/>
      <c r="H378" s="428"/>
      <c r="I378" s="428"/>
      <c r="J378" s="428"/>
      <c r="K378" s="428"/>
      <c r="L378" s="428"/>
      <c r="M378" s="428"/>
      <c r="N378" s="428"/>
      <c r="O378" s="428"/>
      <c r="P378" s="428"/>
      <c r="Q378" s="428"/>
      <c r="S378" s="428"/>
      <c r="W378" s="428"/>
      <c r="X378" s="428"/>
    </row>
    <row r="379" spans="2:24" ht="12.75">
      <c r="B379" s="426"/>
      <c r="F379" s="428"/>
      <c r="G379" s="428"/>
      <c r="H379" s="428"/>
      <c r="I379" s="428"/>
      <c r="J379" s="428"/>
      <c r="K379" s="428"/>
      <c r="L379" s="428"/>
      <c r="M379" s="428"/>
      <c r="N379" s="428"/>
      <c r="O379" s="428"/>
      <c r="P379" s="428"/>
      <c r="Q379" s="428"/>
      <c r="S379" s="428"/>
      <c r="W379" s="428"/>
      <c r="X379" s="428"/>
    </row>
    <row r="380" spans="2:24" ht="12.75">
      <c r="B380" s="426"/>
      <c r="F380" s="428"/>
      <c r="G380" s="428"/>
      <c r="H380" s="428"/>
      <c r="I380" s="428"/>
      <c r="J380" s="428"/>
      <c r="K380" s="428"/>
      <c r="L380" s="428"/>
      <c r="M380" s="428"/>
      <c r="N380" s="428"/>
      <c r="O380" s="428"/>
      <c r="P380" s="428"/>
      <c r="Q380" s="428"/>
      <c r="S380" s="428"/>
      <c r="W380" s="428"/>
      <c r="X380" s="428"/>
    </row>
    <row r="381" spans="2:24" ht="12.75">
      <c r="B381" s="426"/>
      <c r="F381" s="428"/>
      <c r="G381" s="428"/>
      <c r="H381" s="428"/>
      <c r="I381" s="428"/>
      <c r="J381" s="428"/>
      <c r="K381" s="428"/>
      <c r="L381" s="428"/>
      <c r="M381" s="428"/>
      <c r="N381" s="428"/>
      <c r="O381" s="428"/>
      <c r="P381" s="428"/>
      <c r="Q381" s="428"/>
      <c r="S381" s="428"/>
      <c r="W381" s="428"/>
      <c r="X381" s="428"/>
    </row>
    <row r="382" spans="2:24" ht="12.75">
      <c r="B382" s="426"/>
      <c r="F382" s="428"/>
      <c r="G382" s="428"/>
      <c r="H382" s="428"/>
      <c r="I382" s="428"/>
      <c r="J382" s="428"/>
      <c r="K382" s="428"/>
      <c r="L382" s="428"/>
      <c r="M382" s="428"/>
      <c r="N382" s="428"/>
      <c r="O382" s="428"/>
      <c r="P382" s="428"/>
      <c r="Q382" s="428"/>
      <c r="S382" s="428"/>
      <c r="W382" s="428"/>
      <c r="X382" s="428"/>
    </row>
    <row r="383" spans="2:24" ht="12.75">
      <c r="B383" s="426"/>
      <c r="F383" s="428"/>
      <c r="G383" s="428"/>
      <c r="H383" s="428"/>
      <c r="I383" s="428"/>
      <c r="J383" s="428"/>
      <c r="K383" s="428"/>
      <c r="L383" s="428"/>
      <c r="M383" s="428"/>
      <c r="N383" s="428"/>
      <c r="O383" s="428"/>
      <c r="P383" s="428"/>
      <c r="Q383" s="428"/>
      <c r="S383" s="428"/>
      <c r="W383" s="428"/>
      <c r="X383" s="428"/>
    </row>
    <row r="384" spans="2:24" ht="12.75">
      <c r="B384" s="426"/>
      <c r="F384" s="428"/>
      <c r="G384" s="428"/>
      <c r="H384" s="428"/>
      <c r="I384" s="428"/>
      <c r="J384" s="428"/>
      <c r="K384" s="428"/>
      <c r="L384" s="428"/>
      <c r="M384" s="428"/>
      <c r="N384" s="428"/>
      <c r="O384" s="428"/>
      <c r="P384" s="428"/>
      <c r="Q384" s="428"/>
      <c r="S384" s="428"/>
      <c r="W384" s="428"/>
      <c r="X384" s="428"/>
    </row>
    <row r="385" spans="2:24" ht="12.75">
      <c r="B385" s="426"/>
      <c r="F385" s="428"/>
      <c r="G385" s="428"/>
      <c r="H385" s="428"/>
      <c r="I385" s="428"/>
      <c r="J385" s="428"/>
      <c r="K385" s="428"/>
      <c r="L385" s="428"/>
      <c r="M385" s="428"/>
      <c r="N385" s="428"/>
      <c r="O385" s="428"/>
      <c r="P385" s="428"/>
      <c r="Q385" s="428"/>
      <c r="S385" s="428"/>
      <c r="W385" s="428"/>
      <c r="X385" s="428"/>
    </row>
    <row r="386" spans="2:24" ht="12.75">
      <c r="B386" s="426"/>
      <c r="F386" s="428"/>
      <c r="G386" s="428"/>
      <c r="H386" s="428"/>
      <c r="I386" s="428"/>
      <c r="J386" s="428"/>
      <c r="K386" s="428"/>
      <c r="L386" s="428"/>
      <c r="M386" s="428"/>
      <c r="N386" s="428"/>
      <c r="O386" s="428"/>
      <c r="P386" s="428"/>
      <c r="Q386" s="428"/>
      <c r="S386" s="428"/>
      <c r="W386" s="428"/>
      <c r="X386" s="428"/>
    </row>
    <row r="387" spans="2:24" ht="12.75">
      <c r="B387" s="426"/>
      <c r="F387" s="428"/>
      <c r="G387" s="428"/>
      <c r="H387" s="428"/>
      <c r="I387" s="428"/>
      <c r="J387" s="428"/>
      <c r="K387" s="428"/>
      <c r="L387" s="428"/>
      <c r="M387" s="428"/>
      <c r="N387" s="428"/>
      <c r="O387" s="428"/>
      <c r="P387" s="428"/>
      <c r="Q387" s="428"/>
      <c r="S387" s="428"/>
      <c r="W387" s="428"/>
      <c r="X387" s="428"/>
    </row>
    <row r="388" spans="2:24" ht="12.75">
      <c r="B388" s="426"/>
      <c r="F388" s="428"/>
      <c r="G388" s="428"/>
      <c r="H388" s="428"/>
      <c r="I388" s="428"/>
      <c r="J388" s="428"/>
      <c r="K388" s="428"/>
      <c r="L388" s="428"/>
      <c r="M388" s="428"/>
      <c r="N388" s="428"/>
      <c r="O388" s="428"/>
      <c r="P388" s="428"/>
      <c r="Q388" s="428"/>
      <c r="S388" s="428"/>
      <c r="W388" s="428"/>
      <c r="X388" s="428"/>
    </row>
    <row r="389" spans="2:24" ht="12.75">
      <c r="B389" s="426"/>
      <c r="F389" s="428"/>
      <c r="G389" s="428"/>
      <c r="H389" s="428"/>
      <c r="I389" s="428"/>
      <c r="J389" s="428"/>
      <c r="K389" s="428"/>
      <c r="L389" s="428"/>
      <c r="M389" s="428"/>
      <c r="N389" s="428"/>
      <c r="O389" s="428"/>
      <c r="P389" s="428"/>
      <c r="Q389" s="428"/>
      <c r="S389" s="428"/>
      <c r="W389" s="428"/>
      <c r="X389" s="428"/>
    </row>
    <row r="390" spans="2:24" ht="12.75">
      <c r="B390" s="426"/>
      <c r="F390" s="428"/>
      <c r="G390" s="428"/>
      <c r="H390" s="428"/>
      <c r="I390" s="428"/>
      <c r="J390" s="428"/>
      <c r="K390" s="428"/>
      <c r="L390" s="428"/>
      <c r="M390" s="428"/>
      <c r="N390" s="428"/>
      <c r="O390" s="428"/>
      <c r="P390" s="428"/>
      <c r="Q390" s="428"/>
      <c r="S390" s="428"/>
      <c r="W390" s="428"/>
      <c r="X390" s="428"/>
    </row>
    <row r="391" spans="2:24" ht="12.75">
      <c r="B391" s="426"/>
      <c r="F391" s="428"/>
      <c r="G391" s="428"/>
      <c r="H391" s="428"/>
      <c r="I391" s="428"/>
      <c r="J391" s="428"/>
      <c r="K391" s="428"/>
      <c r="L391" s="428"/>
      <c r="M391" s="428"/>
      <c r="N391" s="428"/>
      <c r="O391" s="428"/>
      <c r="P391" s="428"/>
      <c r="Q391" s="428"/>
      <c r="S391" s="428"/>
      <c r="W391" s="428"/>
      <c r="X391" s="428"/>
    </row>
    <row r="392" spans="2:24" ht="12.75">
      <c r="B392" s="426"/>
      <c r="F392" s="428"/>
      <c r="G392" s="428"/>
      <c r="H392" s="428"/>
      <c r="I392" s="428"/>
      <c r="J392" s="428"/>
      <c r="K392" s="428"/>
      <c r="L392" s="428"/>
      <c r="M392" s="428"/>
      <c r="N392" s="428"/>
      <c r="O392" s="428"/>
      <c r="P392" s="428"/>
      <c r="Q392" s="428"/>
      <c r="S392" s="428"/>
      <c r="W392" s="428"/>
      <c r="X392" s="428"/>
    </row>
    <row r="393" spans="2:24" ht="12.75">
      <c r="B393" s="426"/>
      <c r="F393" s="428"/>
      <c r="G393" s="428"/>
      <c r="H393" s="428"/>
      <c r="I393" s="428"/>
      <c r="J393" s="428"/>
      <c r="K393" s="428"/>
      <c r="L393" s="428"/>
      <c r="M393" s="428"/>
      <c r="N393" s="428"/>
      <c r="O393" s="428"/>
      <c r="P393" s="428"/>
      <c r="Q393" s="428"/>
      <c r="S393" s="428"/>
      <c r="W393" s="428"/>
      <c r="X393" s="428"/>
    </row>
    <row r="394" spans="2:24" ht="12.75">
      <c r="B394" s="426"/>
      <c r="F394" s="428"/>
      <c r="G394" s="428"/>
      <c r="H394" s="428"/>
      <c r="I394" s="428"/>
      <c r="J394" s="428"/>
      <c r="K394" s="428"/>
      <c r="L394" s="428"/>
      <c r="M394" s="428"/>
      <c r="N394" s="428"/>
      <c r="O394" s="428"/>
      <c r="P394" s="428"/>
      <c r="Q394" s="428"/>
      <c r="S394" s="428"/>
      <c r="W394" s="428"/>
      <c r="X394" s="428"/>
    </row>
    <row r="395" spans="2:24" ht="12.75">
      <c r="B395" s="426"/>
      <c r="F395" s="428"/>
      <c r="G395" s="428"/>
      <c r="H395" s="428"/>
      <c r="I395" s="428"/>
      <c r="J395" s="428"/>
      <c r="K395" s="428"/>
      <c r="L395" s="428"/>
      <c r="M395" s="428"/>
      <c r="N395" s="428"/>
      <c r="O395" s="428"/>
      <c r="P395" s="428"/>
      <c r="Q395" s="428"/>
      <c r="S395" s="428"/>
      <c r="W395" s="428"/>
      <c r="X395" s="428"/>
    </row>
    <row r="396" spans="2:24" ht="12.75">
      <c r="B396" s="426"/>
      <c r="F396" s="428"/>
      <c r="G396" s="428"/>
      <c r="H396" s="428"/>
      <c r="I396" s="428"/>
      <c r="J396" s="428"/>
      <c r="K396" s="428"/>
      <c r="L396" s="428"/>
      <c r="M396" s="428"/>
      <c r="N396" s="428"/>
      <c r="O396" s="428"/>
      <c r="P396" s="428"/>
      <c r="Q396" s="428"/>
      <c r="S396" s="428"/>
      <c r="W396" s="428"/>
      <c r="X396" s="428"/>
    </row>
    <row r="397" spans="2:24" ht="12.75">
      <c r="B397" s="426"/>
      <c r="F397" s="428"/>
      <c r="G397" s="428"/>
      <c r="H397" s="428"/>
      <c r="I397" s="428"/>
      <c r="J397" s="428"/>
      <c r="K397" s="428"/>
      <c r="L397" s="428"/>
      <c r="M397" s="428"/>
      <c r="N397" s="428"/>
      <c r="O397" s="428"/>
      <c r="P397" s="428"/>
      <c r="Q397" s="428"/>
      <c r="S397" s="428"/>
      <c r="W397" s="428"/>
      <c r="X397" s="428"/>
    </row>
    <row r="398" spans="2:24" ht="12.75">
      <c r="B398" s="426"/>
      <c r="F398" s="428"/>
      <c r="G398" s="428"/>
      <c r="H398" s="428"/>
      <c r="I398" s="428"/>
      <c r="J398" s="428"/>
      <c r="K398" s="428"/>
      <c r="L398" s="428"/>
      <c r="M398" s="428"/>
      <c r="N398" s="428"/>
      <c r="O398" s="428"/>
      <c r="P398" s="428"/>
      <c r="Q398" s="428"/>
      <c r="S398" s="428"/>
      <c r="W398" s="428"/>
      <c r="X398" s="428"/>
    </row>
    <row r="399" spans="2:24" ht="12.75">
      <c r="B399" s="426"/>
      <c r="F399" s="428"/>
      <c r="G399" s="428"/>
      <c r="H399" s="428"/>
      <c r="I399" s="428"/>
      <c r="J399" s="428"/>
      <c r="K399" s="428"/>
      <c r="L399" s="428"/>
      <c r="M399" s="428"/>
      <c r="N399" s="428"/>
      <c r="O399" s="428"/>
      <c r="P399" s="428"/>
      <c r="Q399" s="428"/>
      <c r="S399" s="428"/>
      <c r="W399" s="428"/>
      <c r="X399" s="428"/>
    </row>
    <row r="400" spans="2:24" ht="12.75">
      <c r="B400" s="426"/>
      <c r="F400" s="428"/>
      <c r="G400" s="428"/>
      <c r="H400" s="428"/>
      <c r="I400" s="428"/>
      <c r="J400" s="428"/>
      <c r="K400" s="428"/>
      <c r="L400" s="428"/>
      <c r="M400" s="428"/>
      <c r="N400" s="428"/>
      <c r="O400" s="428"/>
      <c r="P400" s="428"/>
      <c r="Q400" s="428"/>
      <c r="S400" s="428"/>
      <c r="W400" s="428"/>
      <c r="X400" s="428"/>
    </row>
    <row r="401" spans="2:24" ht="12.75">
      <c r="B401" s="426"/>
      <c r="F401" s="428"/>
      <c r="G401" s="428"/>
      <c r="H401" s="428"/>
      <c r="I401" s="428"/>
      <c r="J401" s="428"/>
      <c r="K401" s="428"/>
      <c r="L401" s="428"/>
      <c r="M401" s="428"/>
      <c r="N401" s="428"/>
      <c r="O401" s="428"/>
      <c r="P401" s="428"/>
      <c r="Q401" s="428"/>
      <c r="S401" s="428"/>
      <c r="W401" s="428"/>
      <c r="X401" s="428"/>
    </row>
    <row r="402" spans="2:24" ht="12.75">
      <c r="B402" s="426"/>
      <c r="F402" s="428"/>
      <c r="G402" s="428"/>
      <c r="H402" s="428"/>
      <c r="I402" s="428"/>
      <c r="J402" s="428"/>
      <c r="K402" s="428"/>
      <c r="L402" s="428"/>
      <c r="M402" s="428"/>
      <c r="N402" s="428"/>
      <c r="O402" s="428"/>
      <c r="P402" s="428"/>
      <c r="Q402" s="428"/>
      <c r="S402" s="428"/>
      <c r="W402" s="428"/>
      <c r="X402" s="428"/>
    </row>
    <row r="403" spans="2:24" ht="12.75">
      <c r="B403" s="426"/>
      <c r="F403" s="428"/>
      <c r="G403" s="428"/>
      <c r="H403" s="428"/>
      <c r="I403" s="428"/>
      <c r="J403" s="428"/>
      <c r="K403" s="428"/>
      <c r="L403" s="428"/>
      <c r="M403" s="428"/>
      <c r="N403" s="428"/>
      <c r="O403" s="428"/>
      <c r="P403" s="428"/>
      <c r="Q403" s="428"/>
      <c r="S403" s="428"/>
      <c r="W403" s="428"/>
      <c r="X403" s="428"/>
    </row>
    <row r="404" spans="2:24" ht="12.75">
      <c r="B404" s="426"/>
      <c r="F404" s="428"/>
      <c r="G404" s="428"/>
      <c r="H404" s="428"/>
      <c r="I404" s="428"/>
      <c r="J404" s="428"/>
      <c r="K404" s="428"/>
      <c r="L404" s="428"/>
      <c r="M404" s="428"/>
      <c r="N404" s="428"/>
      <c r="O404" s="428"/>
      <c r="P404" s="428"/>
      <c r="Q404" s="428"/>
      <c r="S404" s="428"/>
      <c r="W404" s="428"/>
      <c r="X404" s="428"/>
    </row>
    <row r="405" spans="2:24" ht="12.75">
      <c r="B405" s="426"/>
      <c r="F405" s="428"/>
      <c r="G405" s="428"/>
      <c r="H405" s="428"/>
      <c r="I405" s="428"/>
      <c r="J405" s="428"/>
      <c r="K405" s="428"/>
      <c r="L405" s="428"/>
      <c r="M405" s="428"/>
      <c r="N405" s="428"/>
      <c r="O405" s="428"/>
      <c r="P405" s="428"/>
      <c r="Q405" s="428"/>
      <c r="S405" s="428"/>
      <c r="W405" s="428"/>
      <c r="X405" s="428"/>
    </row>
    <row r="406" spans="2:24" ht="12.75">
      <c r="B406" s="426"/>
      <c r="F406" s="428"/>
      <c r="G406" s="428"/>
      <c r="H406" s="428"/>
      <c r="I406" s="428"/>
      <c r="J406" s="428"/>
      <c r="K406" s="428"/>
      <c r="L406" s="428"/>
      <c r="M406" s="428"/>
      <c r="N406" s="428"/>
      <c r="O406" s="428"/>
      <c r="P406" s="428"/>
      <c r="Q406" s="428"/>
      <c r="S406" s="428"/>
      <c r="W406" s="428"/>
      <c r="X406" s="428"/>
    </row>
    <row r="407" spans="2:24" ht="12.75">
      <c r="B407" s="426"/>
      <c r="F407" s="428"/>
      <c r="G407" s="428"/>
      <c r="H407" s="428"/>
      <c r="I407" s="428"/>
      <c r="J407" s="428"/>
      <c r="K407" s="428"/>
      <c r="L407" s="428"/>
      <c r="M407" s="428"/>
      <c r="N407" s="428"/>
      <c r="O407" s="428"/>
      <c r="P407" s="428"/>
      <c r="Q407" s="428"/>
      <c r="S407" s="428"/>
      <c r="W407" s="428"/>
      <c r="X407" s="428"/>
    </row>
    <row r="408" spans="2:24" ht="12.75">
      <c r="B408" s="426"/>
      <c r="F408" s="428"/>
      <c r="G408" s="428"/>
      <c r="H408" s="428"/>
      <c r="I408" s="428"/>
      <c r="J408" s="428"/>
      <c r="K408" s="428"/>
      <c r="L408" s="428"/>
      <c r="M408" s="428"/>
      <c r="N408" s="428"/>
      <c r="O408" s="428"/>
      <c r="P408" s="428"/>
      <c r="Q408" s="428"/>
      <c r="S408" s="428"/>
      <c r="W408" s="428"/>
      <c r="X408" s="428"/>
    </row>
    <row r="409" spans="2:24" ht="12.75">
      <c r="B409" s="426"/>
      <c r="F409" s="428"/>
      <c r="G409" s="428"/>
      <c r="H409" s="428"/>
      <c r="I409" s="428"/>
      <c r="J409" s="428"/>
      <c r="K409" s="428"/>
      <c r="L409" s="428"/>
      <c r="M409" s="428"/>
      <c r="N409" s="428"/>
      <c r="O409" s="428"/>
      <c r="P409" s="428"/>
      <c r="Q409" s="428"/>
      <c r="S409" s="428"/>
      <c r="W409" s="428"/>
      <c r="X409" s="428"/>
    </row>
    <row r="410" spans="2:24" ht="12.75">
      <c r="B410" s="426"/>
      <c r="F410" s="428"/>
      <c r="G410" s="428"/>
      <c r="H410" s="428"/>
      <c r="I410" s="428"/>
      <c r="J410" s="428"/>
      <c r="K410" s="428"/>
      <c r="L410" s="428"/>
      <c r="M410" s="428"/>
      <c r="N410" s="428"/>
      <c r="O410" s="428"/>
      <c r="P410" s="428"/>
      <c r="Q410" s="428"/>
      <c r="S410" s="428"/>
      <c r="W410" s="428"/>
      <c r="X410" s="428"/>
    </row>
    <row r="411" spans="2:24" ht="12.75">
      <c r="B411" s="426"/>
      <c r="F411" s="428"/>
      <c r="G411" s="428"/>
      <c r="H411" s="428"/>
      <c r="I411" s="428"/>
      <c r="J411" s="428"/>
      <c r="K411" s="428"/>
      <c r="L411" s="428"/>
      <c r="M411" s="428"/>
      <c r="N411" s="428"/>
      <c r="O411" s="428"/>
      <c r="P411" s="428"/>
      <c r="Q411" s="428"/>
      <c r="S411" s="428"/>
      <c r="W411" s="428"/>
      <c r="X411" s="428"/>
    </row>
    <row r="412" spans="2:24" ht="12.75">
      <c r="B412" s="426"/>
      <c r="F412" s="428"/>
      <c r="G412" s="428"/>
      <c r="H412" s="428"/>
      <c r="I412" s="428"/>
      <c r="J412" s="428"/>
      <c r="K412" s="428"/>
      <c r="L412" s="428"/>
      <c r="M412" s="428"/>
      <c r="N412" s="428"/>
      <c r="O412" s="428"/>
      <c r="P412" s="428"/>
      <c r="Q412" s="428"/>
      <c r="S412" s="428"/>
      <c r="W412" s="428"/>
      <c r="X412" s="428"/>
    </row>
    <row r="413" spans="2:24" ht="12.75">
      <c r="B413" s="426"/>
      <c r="F413" s="428"/>
      <c r="G413" s="428"/>
      <c r="H413" s="428"/>
      <c r="I413" s="428"/>
      <c r="J413" s="428"/>
      <c r="K413" s="428"/>
      <c r="L413" s="428"/>
      <c r="M413" s="428"/>
      <c r="N413" s="428"/>
      <c r="O413" s="428"/>
      <c r="P413" s="428"/>
      <c r="Q413" s="428"/>
      <c r="S413" s="428"/>
      <c r="W413" s="428"/>
      <c r="X413" s="428"/>
    </row>
    <row r="414" spans="2:24" ht="12.75">
      <c r="B414" s="426"/>
      <c r="F414" s="428"/>
      <c r="G414" s="428"/>
      <c r="H414" s="428"/>
      <c r="I414" s="428"/>
      <c r="J414" s="428"/>
      <c r="K414" s="428"/>
      <c r="L414" s="428"/>
      <c r="M414" s="428"/>
      <c r="N414" s="428"/>
      <c r="O414" s="428"/>
      <c r="P414" s="428"/>
      <c r="Q414" s="428"/>
      <c r="S414" s="428"/>
      <c r="W414" s="428"/>
      <c r="X414" s="428"/>
    </row>
    <row r="415" spans="2:24" ht="12.75">
      <c r="B415" s="426"/>
      <c r="F415" s="428"/>
      <c r="G415" s="428"/>
      <c r="H415" s="428"/>
      <c r="I415" s="428"/>
      <c r="J415" s="428"/>
      <c r="K415" s="428"/>
      <c r="L415" s="428"/>
      <c r="M415" s="428"/>
      <c r="N415" s="428"/>
      <c r="O415" s="428"/>
      <c r="P415" s="428"/>
      <c r="Q415" s="428"/>
      <c r="S415" s="428"/>
      <c r="W415" s="428"/>
      <c r="X415" s="428"/>
    </row>
    <row r="416" spans="2:24" ht="12.75">
      <c r="B416" s="426"/>
      <c r="F416" s="428"/>
      <c r="G416" s="428"/>
      <c r="H416" s="428"/>
      <c r="I416" s="428"/>
      <c r="J416" s="428"/>
      <c r="K416" s="428"/>
      <c r="L416" s="428"/>
      <c r="M416" s="428"/>
      <c r="N416" s="428"/>
      <c r="O416" s="428"/>
      <c r="P416" s="428"/>
      <c r="Q416" s="428"/>
      <c r="S416" s="428"/>
      <c r="W416" s="428"/>
      <c r="X416" s="428"/>
    </row>
    <row r="417" spans="2:24" ht="12.75">
      <c r="B417" s="426"/>
      <c r="F417" s="428"/>
      <c r="G417" s="428"/>
      <c r="H417" s="428"/>
      <c r="I417" s="428"/>
      <c r="J417" s="428"/>
      <c r="K417" s="428"/>
      <c r="L417" s="428"/>
      <c r="M417" s="428"/>
      <c r="N417" s="428"/>
      <c r="O417" s="428"/>
      <c r="P417" s="428"/>
      <c r="Q417" s="428"/>
      <c r="S417" s="428"/>
      <c r="W417" s="428"/>
      <c r="X417" s="428"/>
    </row>
    <row r="418" spans="2:24" ht="12.75">
      <c r="B418" s="426"/>
      <c r="F418" s="428"/>
      <c r="G418" s="428"/>
      <c r="H418" s="428"/>
      <c r="I418" s="428"/>
      <c r="J418" s="428"/>
      <c r="K418" s="428"/>
      <c r="L418" s="428"/>
      <c r="M418" s="428"/>
      <c r="N418" s="428"/>
      <c r="O418" s="428"/>
      <c r="P418" s="428"/>
      <c r="Q418" s="428"/>
      <c r="S418" s="428"/>
      <c r="W418" s="428"/>
      <c r="X418" s="428"/>
    </row>
    <row r="419" spans="2:24" ht="12.75">
      <c r="B419" s="426"/>
      <c r="F419" s="428"/>
      <c r="G419" s="428"/>
      <c r="H419" s="428"/>
      <c r="I419" s="428"/>
      <c r="J419" s="428"/>
      <c r="K419" s="428"/>
      <c r="L419" s="428"/>
      <c r="M419" s="428"/>
      <c r="N419" s="428"/>
      <c r="O419" s="428"/>
      <c r="P419" s="428"/>
      <c r="Q419" s="428"/>
      <c r="S419" s="428"/>
      <c r="W419" s="428"/>
      <c r="X419" s="428"/>
    </row>
    <row r="420" spans="2:24" ht="12.75">
      <c r="B420" s="426"/>
      <c r="F420" s="428"/>
      <c r="G420" s="428"/>
      <c r="H420" s="428"/>
      <c r="I420" s="428"/>
      <c r="J420" s="428"/>
      <c r="K420" s="428"/>
      <c r="L420" s="428"/>
      <c r="M420" s="428"/>
      <c r="N420" s="428"/>
      <c r="O420" s="428"/>
      <c r="P420" s="428"/>
      <c r="Q420" s="428"/>
      <c r="S420" s="428"/>
      <c r="W420" s="428"/>
      <c r="X420" s="428"/>
    </row>
    <row r="421" spans="2:24" ht="12.75">
      <c r="B421" s="426"/>
      <c r="F421" s="428"/>
      <c r="G421" s="428"/>
      <c r="H421" s="428"/>
      <c r="I421" s="428"/>
      <c r="J421" s="428"/>
      <c r="K421" s="428"/>
      <c r="L421" s="428"/>
      <c r="M421" s="428"/>
      <c r="N421" s="428"/>
      <c r="O421" s="428"/>
      <c r="P421" s="428"/>
      <c r="Q421" s="428"/>
      <c r="S421" s="428"/>
      <c r="W421" s="428"/>
      <c r="X421" s="428"/>
    </row>
    <row r="422" spans="2:24" ht="12.75">
      <c r="B422" s="426"/>
      <c r="F422" s="428"/>
      <c r="G422" s="428"/>
      <c r="H422" s="428"/>
      <c r="I422" s="428"/>
      <c r="J422" s="428"/>
      <c r="K422" s="428"/>
      <c r="L422" s="428"/>
      <c r="M422" s="428"/>
      <c r="N422" s="428"/>
      <c r="O422" s="428"/>
      <c r="P422" s="428"/>
      <c r="Q422" s="428"/>
      <c r="S422" s="428"/>
      <c r="W422" s="428"/>
      <c r="X422" s="428"/>
    </row>
    <row r="423" spans="2:24" ht="12.75">
      <c r="B423" s="426"/>
      <c r="F423" s="428"/>
      <c r="G423" s="428"/>
      <c r="H423" s="428"/>
      <c r="I423" s="428"/>
      <c r="J423" s="428"/>
      <c r="K423" s="428"/>
      <c r="L423" s="428"/>
      <c r="M423" s="428"/>
      <c r="N423" s="428"/>
      <c r="O423" s="428"/>
      <c r="P423" s="428"/>
      <c r="Q423" s="428"/>
      <c r="S423" s="428"/>
      <c r="W423" s="428"/>
      <c r="X423" s="428"/>
    </row>
    <row r="424" spans="2:24" ht="12.75">
      <c r="B424" s="426"/>
      <c r="F424" s="428"/>
      <c r="G424" s="428"/>
      <c r="H424" s="428"/>
      <c r="I424" s="428"/>
      <c r="J424" s="428"/>
      <c r="K424" s="428"/>
      <c r="L424" s="428"/>
      <c r="M424" s="428"/>
      <c r="N424" s="428"/>
      <c r="O424" s="428"/>
      <c r="P424" s="428"/>
      <c r="Q424" s="428"/>
      <c r="S424" s="428"/>
      <c r="W424" s="428"/>
      <c r="X424" s="428"/>
    </row>
    <row r="425" spans="2:24" ht="12.75">
      <c r="B425" s="426"/>
      <c r="F425" s="428"/>
      <c r="G425" s="428"/>
      <c r="H425" s="428"/>
      <c r="I425" s="428"/>
      <c r="J425" s="428"/>
      <c r="K425" s="428"/>
      <c r="L425" s="428"/>
      <c r="M425" s="428"/>
      <c r="N425" s="428"/>
      <c r="O425" s="428"/>
      <c r="P425" s="428"/>
      <c r="Q425" s="428"/>
      <c r="S425" s="428"/>
      <c r="W425" s="428"/>
      <c r="X425" s="428"/>
    </row>
    <row r="426" spans="2:24" ht="12.75">
      <c r="B426" s="426"/>
      <c r="F426" s="428"/>
      <c r="G426" s="428"/>
      <c r="H426" s="428"/>
      <c r="I426" s="428"/>
      <c r="J426" s="428"/>
      <c r="K426" s="428"/>
      <c r="L426" s="428"/>
      <c r="M426" s="428"/>
      <c r="N426" s="428"/>
      <c r="O426" s="428"/>
      <c r="P426" s="428"/>
      <c r="Q426" s="428"/>
      <c r="S426" s="428"/>
      <c r="W426" s="428"/>
      <c r="X426" s="428"/>
    </row>
    <row r="427" spans="2:24" ht="12.75">
      <c r="B427" s="426"/>
      <c r="F427" s="428"/>
      <c r="G427" s="428"/>
      <c r="H427" s="428"/>
      <c r="I427" s="428"/>
      <c r="J427" s="428"/>
      <c r="K427" s="428"/>
      <c r="L427" s="428"/>
      <c r="M427" s="428"/>
      <c r="N427" s="428"/>
      <c r="O427" s="428"/>
      <c r="P427" s="428"/>
      <c r="Q427" s="428"/>
      <c r="S427" s="428"/>
      <c r="W427" s="428"/>
      <c r="X427" s="428"/>
    </row>
    <row r="428" spans="2:24" ht="12.75">
      <c r="B428" s="426"/>
      <c r="F428" s="428"/>
      <c r="G428" s="428"/>
      <c r="H428" s="428"/>
      <c r="I428" s="428"/>
      <c r="J428" s="428"/>
      <c r="K428" s="428"/>
      <c r="L428" s="428"/>
      <c r="M428" s="428"/>
      <c r="N428" s="428"/>
      <c r="O428" s="428"/>
      <c r="P428" s="428"/>
      <c r="Q428" s="428"/>
      <c r="S428" s="428"/>
      <c r="W428" s="428"/>
      <c r="X428" s="428"/>
    </row>
    <row r="429" spans="2:24" ht="12.75">
      <c r="B429" s="426"/>
      <c r="F429" s="428"/>
      <c r="G429" s="428"/>
      <c r="H429" s="428"/>
      <c r="I429" s="428"/>
      <c r="J429" s="428"/>
      <c r="K429" s="428"/>
      <c r="L429" s="428"/>
      <c r="M429" s="428"/>
      <c r="N429" s="428"/>
      <c r="O429" s="428"/>
      <c r="P429" s="428"/>
      <c r="Q429" s="428"/>
      <c r="S429" s="428"/>
      <c r="W429" s="428"/>
      <c r="X429" s="428"/>
    </row>
    <row r="430" spans="2:24" ht="12.75">
      <c r="B430" s="426"/>
      <c r="F430" s="428"/>
      <c r="G430" s="428"/>
      <c r="H430" s="428"/>
      <c r="I430" s="428"/>
      <c r="J430" s="428"/>
      <c r="K430" s="428"/>
      <c r="L430" s="428"/>
      <c r="M430" s="428"/>
      <c r="N430" s="428"/>
      <c r="O430" s="428"/>
      <c r="P430" s="428"/>
      <c r="Q430" s="428"/>
      <c r="S430" s="428"/>
      <c r="W430" s="428"/>
      <c r="X430" s="428"/>
    </row>
    <row r="431" spans="2:24" ht="12.75">
      <c r="B431" s="426"/>
      <c r="F431" s="428"/>
      <c r="G431" s="428"/>
      <c r="H431" s="428"/>
      <c r="I431" s="428"/>
      <c r="J431" s="428"/>
      <c r="K431" s="428"/>
      <c r="L431" s="428"/>
      <c r="M431" s="428"/>
      <c r="N431" s="428"/>
      <c r="O431" s="428"/>
      <c r="P431" s="428"/>
      <c r="Q431" s="428"/>
      <c r="S431" s="428"/>
      <c r="W431" s="428"/>
      <c r="X431" s="428"/>
    </row>
    <row r="432" spans="2:24" ht="12.75">
      <c r="B432" s="426"/>
      <c r="F432" s="428"/>
      <c r="G432" s="428"/>
      <c r="H432" s="428"/>
      <c r="I432" s="428"/>
      <c r="J432" s="428"/>
      <c r="K432" s="428"/>
      <c r="L432" s="428"/>
      <c r="M432" s="428"/>
      <c r="N432" s="428"/>
      <c r="O432" s="428"/>
      <c r="P432" s="428"/>
      <c r="Q432" s="428"/>
      <c r="S432" s="428"/>
      <c r="W432" s="428"/>
      <c r="X432" s="428"/>
    </row>
    <row r="433" spans="2:24" ht="12.75">
      <c r="B433" s="426"/>
      <c r="F433" s="428"/>
      <c r="G433" s="428"/>
      <c r="H433" s="428"/>
      <c r="I433" s="428"/>
      <c r="J433" s="428"/>
      <c r="K433" s="428"/>
      <c r="L433" s="428"/>
      <c r="M433" s="428"/>
      <c r="N433" s="428"/>
      <c r="O433" s="428"/>
      <c r="P433" s="428"/>
      <c r="Q433" s="428"/>
      <c r="S433" s="428"/>
      <c r="W433" s="428"/>
      <c r="X433" s="428"/>
    </row>
    <row r="434" spans="2:24" ht="12.75">
      <c r="B434" s="426"/>
      <c r="F434" s="428"/>
      <c r="G434" s="428"/>
      <c r="H434" s="428"/>
      <c r="I434" s="428"/>
      <c r="J434" s="428"/>
      <c r="K434" s="428"/>
      <c r="L434" s="428"/>
      <c r="M434" s="428"/>
      <c r="N434" s="428"/>
      <c r="O434" s="428"/>
      <c r="P434" s="428"/>
      <c r="Q434" s="428"/>
      <c r="S434" s="428"/>
      <c r="W434" s="428"/>
      <c r="X434" s="428"/>
    </row>
    <row r="435" spans="2:24" ht="12.75">
      <c r="B435" s="426"/>
      <c r="F435" s="428"/>
      <c r="G435" s="428"/>
      <c r="H435" s="428"/>
      <c r="I435" s="428"/>
      <c r="J435" s="428"/>
      <c r="K435" s="428"/>
      <c r="L435" s="428"/>
      <c r="M435" s="428"/>
      <c r="N435" s="428"/>
      <c r="O435" s="428"/>
      <c r="P435" s="428"/>
      <c r="Q435" s="428"/>
      <c r="S435" s="428"/>
      <c r="W435" s="428"/>
      <c r="X435" s="428"/>
    </row>
    <row r="436" spans="2:24" ht="12.75">
      <c r="B436" s="426"/>
      <c r="F436" s="428"/>
      <c r="G436" s="428"/>
      <c r="H436" s="428"/>
      <c r="I436" s="428"/>
      <c r="J436" s="428"/>
      <c r="K436" s="428"/>
      <c r="L436" s="428"/>
      <c r="M436" s="428"/>
      <c r="N436" s="428"/>
      <c r="O436" s="428"/>
      <c r="P436" s="428"/>
      <c r="Q436" s="428"/>
      <c r="S436" s="428"/>
      <c r="W436" s="428"/>
      <c r="X436" s="428"/>
    </row>
    <row r="437" spans="2:24" ht="12.75">
      <c r="B437" s="426"/>
      <c r="F437" s="428"/>
      <c r="G437" s="428"/>
      <c r="H437" s="428"/>
      <c r="I437" s="428"/>
      <c r="J437" s="428"/>
      <c r="K437" s="428"/>
      <c r="L437" s="428"/>
      <c r="M437" s="428"/>
      <c r="N437" s="428"/>
      <c r="O437" s="428"/>
      <c r="P437" s="428"/>
      <c r="Q437" s="428"/>
      <c r="S437" s="428"/>
      <c r="W437" s="428"/>
      <c r="X437" s="428"/>
    </row>
    <row r="438" spans="2:24" ht="12.75">
      <c r="B438" s="426"/>
      <c r="F438" s="428"/>
      <c r="G438" s="428"/>
      <c r="H438" s="428"/>
      <c r="I438" s="428"/>
      <c r="J438" s="428"/>
      <c r="K438" s="428"/>
      <c r="L438" s="428"/>
      <c r="M438" s="428"/>
      <c r="N438" s="428"/>
      <c r="O438" s="428"/>
      <c r="P438" s="428"/>
      <c r="Q438" s="428"/>
      <c r="S438" s="428"/>
      <c r="W438" s="428"/>
      <c r="X438" s="428"/>
    </row>
    <row r="439" spans="2:24" ht="12.75">
      <c r="B439" s="426"/>
      <c r="F439" s="428"/>
      <c r="G439" s="428"/>
      <c r="H439" s="428"/>
      <c r="I439" s="428"/>
      <c r="J439" s="428"/>
      <c r="K439" s="428"/>
      <c r="L439" s="428"/>
      <c r="M439" s="428"/>
      <c r="N439" s="428"/>
      <c r="O439" s="428"/>
      <c r="P439" s="428"/>
      <c r="Q439" s="428"/>
      <c r="S439" s="428"/>
      <c r="W439" s="428"/>
      <c r="X439" s="428"/>
    </row>
    <row r="440" spans="2:24" ht="12.75">
      <c r="B440" s="426"/>
      <c r="F440" s="428"/>
      <c r="G440" s="428"/>
      <c r="H440" s="428"/>
      <c r="I440" s="428"/>
      <c r="J440" s="428"/>
      <c r="K440" s="428"/>
      <c r="L440" s="428"/>
      <c r="M440" s="428"/>
      <c r="N440" s="428"/>
      <c r="O440" s="428"/>
      <c r="P440" s="428"/>
      <c r="Q440" s="428"/>
      <c r="S440" s="428"/>
      <c r="W440" s="428"/>
      <c r="X440" s="428"/>
    </row>
    <row r="441" spans="2:24" ht="12.75">
      <c r="B441" s="426"/>
      <c r="F441" s="428"/>
      <c r="G441" s="428"/>
      <c r="H441" s="428"/>
      <c r="I441" s="428"/>
      <c r="J441" s="428"/>
      <c r="K441" s="428"/>
      <c r="L441" s="428"/>
      <c r="M441" s="428"/>
      <c r="N441" s="428"/>
      <c r="O441" s="428"/>
      <c r="P441" s="428"/>
      <c r="Q441" s="428"/>
      <c r="S441" s="428"/>
      <c r="W441" s="428"/>
      <c r="X441" s="428"/>
    </row>
    <row r="442" spans="2:24" ht="12.75">
      <c r="B442" s="426"/>
      <c r="F442" s="428"/>
      <c r="G442" s="428"/>
      <c r="H442" s="428"/>
      <c r="I442" s="428"/>
      <c r="J442" s="428"/>
      <c r="K442" s="428"/>
      <c r="L442" s="428"/>
      <c r="M442" s="428"/>
      <c r="N442" s="428"/>
      <c r="O442" s="428"/>
      <c r="P442" s="428"/>
      <c r="Q442" s="428"/>
      <c r="S442" s="428"/>
      <c r="W442" s="428"/>
      <c r="X442" s="428"/>
    </row>
    <row r="443" spans="2:24" ht="12.75">
      <c r="B443" s="426"/>
      <c r="F443" s="428"/>
      <c r="G443" s="428"/>
      <c r="H443" s="428"/>
      <c r="I443" s="428"/>
      <c r="J443" s="428"/>
      <c r="K443" s="428"/>
      <c r="L443" s="428"/>
      <c r="M443" s="428"/>
      <c r="N443" s="428"/>
      <c r="O443" s="428"/>
      <c r="P443" s="428"/>
      <c r="Q443" s="428"/>
      <c r="S443" s="428"/>
      <c r="W443" s="428"/>
      <c r="X443" s="428"/>
    </row>
    <row r="444" spans="2:24" ht="12.75">
      <c r="B444" s="426"/>
      <c r="F444" s="428"/>
      <c r="G444" s="428"/>
      <c r="H444" s="428"/>
      <c r="I444" s="428"/>
      <c r="J444" s="428"/>
      <c r="K444" s="428"/>
      <c r="L444" s="428"/>
      <c r="M444" s="428"/>
      <c r="N444" s="428"/>
      <c r="O444" s="428"/>
      <c r="P444" s="428"/>
      <c r="Q444" s="428"/>
      <c r="S444" s="428"/>
      <c r="W444" s="428"/>
      <c r="X444" s="428"/>
    </row>
    <row r="445" spans="2:24" ht="12.75">
      <c r="B445" s="426"/>
      <c r="F445" s="428"/>
      <c r="G445" s="428"/>
      <c r="H445" s="428"/>
      <c r="I445" s="428"/>
      <c r="J445" s="428"/>
      <c r="K445" s="428"/>
      <c r="L445" s="428"/>
      <c r="M445" s="428"/>
      <c r="N445" s="428"/>
      <c r="O445" s="428"/>
      <c r="P445" s="428"/>
      <c r="Q445" s="428"/>
      <c r="S445" s="428"/>
      <c r="W445" s="428"/>
      <c r="X445" s="428"/>
    </row>
    <row r="446" spans="2:24" ht="12.75">
      <c r="B446" s="426"/>
      <c r="F446" s="428"/>
      <c r="G446" s="428"/>
      <c r="H446" s="428"/>
      <c r="I446" s="428"/>
      <c r="J446" s="428"/>
      <c r="K446" s="428"/>
      <c r="L446" s="428"/>
      <c r="M446" s="428"/>
      <c r="N446" s="428"/>
      <c r="O446" s="428"/>
      <c r="P446" s="428"/>
      <c r="Q446" s="428"/>
      <c r="S446" s="428"/>
      <c r="W446" s="428"/>
      <c r="X446" s="428"/>
    </row>
    <row r="447" spans="2:24" ht="12.75">
      <c r="B447" s="426"/>
      <c r="F447" s="428"/>
      <c r="G447" s="428"/>
      <c r="H447" s="428"/>
      <c r="I447" s="428"/>
      <c r="J447" s="428"/>
      <c r="K447" s="428"/>
      <c r="L447" s="428"/>
      <c r="M447" s="428"/>
      <c r="N447" s="428"/>
      <c r="O447" s="428"/>
      <c r="P447" s="428"/>
      <c r="Q447" s="428"/>
      <c r="S447" s="428"/>
      <c r="W447" s="428"/>
      <c r="X447" s="428"/>
    </row>
    <row r="448" spans="2:24" ht="12.75">
      <c r="B448" s="426"/>
      <c r="F448" s="428"/>
      <c r="G448" s="428"/>
      <c r="H448" s="428"/>
      <c r="I448" s="428"/>
      <c r="J448" s="428"/>
      <c r="K448" s="428"/>
      <c r="L448" s="428"/>
      <c r="M448" s="428"/>
      <c r="N448" s="428"/>
      <c r="O448" s="428"/>
      <c r="P448" s="428"/>
      <c r="Q448" s="428"/>
      <c r="S448" s="428"/>
      <c r="W448" s="428"/>
      <c r="X448" s="428"/>
    </row>
    <row r="449" spans="2:24" ht="12.75">
      <c r="B449" s="426"/>
      <c r="F449" s="428"/>
      <c r="G449" s="428"/>
      <c r="H449" s="428"/>
      <c r="I449" s="428"/>
      <c r="J449" s="428"/>
      <c r="K449" s="428"/>
      <c r="L449" s="428"/>
      <c r="M449" s="428"/>
      <c r="N449" s="428"/>
      <c r="O449" s="428"/>
      <c r="P449" s="428"/>
      <c r="Q449" s="428"/>
      <c r="S449" s="428"/>
      <c r="W449" s="428"/>
      <c r="X449" s="428"/>
    </row>
    <row r="450" spans="2:24" ht="12.75">
      <c r="B450" s="426"/>
      <c r="F450" s="428"/>
      <c r="G450" s="428"/>
      <c r="H450" s="428"/>
      <c r="I450" s="428"/>
      <c r="J450" s="428"/>
      <c r="K450" s="428"/>
      <c r="L450" s="428"/>
      <c r="M450" s="428"/>
      <c r="N450" s="428"/>
      <c r="O450" s="428"/>
      <c r="P450" s="428"/>
      <c r="Q450" s="428"/>
      <c r="S450" s="428"/>
      <c r="W450" s="428"/>
      <c r="X450" s="428"/>
    </row>
    <row r="451" spans="2:24" ht="12.75">
      <c r="B451" s="426"/>
      <c r="F451" s="428"/>
      <c r="G451" s="428"/>
      <c r="H451" s="428"/>
      <c r="I451" s="428"/>
      <c r="J451" s="428"/>
      <c r="K451" s="428"/>
      <c r="L451" s="428"/>
      <c r="M451" s="428"/>
      <c r="N451" s="428"/>
      <c r="O451" s="428"/>
      <c r="P451" s="428"/>
      <c r="Q451" s="428"/>
      <c r="S451" s="428"/>
      <c r="W451" s="428"/>
      <c r="X451" s="428"/>
    </row>
    <row r="452" spans="2:24" ht="12.75">
      <c r="B452" s="426"/>
      <c r="F452" s="428"/>
      <c r="G452" s="428"/>
      <c r="H452" s="428"/>
      <c r="I452" s="428"/>
      <c r="J452" s="428"/>
      <c r="K452" s="428"/>
      <c r="L452" s="428"/>
      <c r="M452" s="428"/>
      <c r="N452" s="428"/>
      <c r="O452" s="428"/>
      <c r="P452" s="428"/>
      <c r="Q452" s="428"/>
      <c r="S452" s="428"/>
      <c r="W452" s="428"/>
      <c r="X452" s="428"/>
    </row>
    <row r="453" spans="2:24" ht="12.75">
      <c r="B453" s="426"/>
      <c r="F453" s="428"/>
      <c r="G453" s="428"/>
      <c r="H453" s="428"/>
      <c r="I453" s="428"/>
      <c r="J453" s="428"/>
      <c r="K453" s="428"/>
      <c r="L453" s="428"/>
      <c r="M453" s="428"/>
      <c r="N453" s="428"/>
      <c r="O453" s="428"/>
      <c r="P453" s="428"/>
      <c r="Q453" s="428"/>
      <c r="S453" s="428"/>
      <c r="W453" s="428"/>
      <c r="X453" s="428"/>
    </row>
    <row r="454" spans="2:24" ht="12.75">
      <c r="B454" s="426"/>
      <c r="F454" s="428"/>
      <c r="G454" s="428"/>
      <c r="H454" s="428"/>
      <c r="I454" s="428"/>
      <c r="J454" s="428"/>
      <c r="K454" s="428"/>
      <c r="L454" s="428"/>
      <c r="M454" s="428"/>
      <c r="N454" s="428"/>
      <c r="O454" s="428"/>
      <c r="P454" s="428"/>
      <c r="Q454" s="428"/>
      <c r="S454" s="428"/>
      <c r="W454" s="428"/>
      <c r="X454" s="428"/>
    </row>
    <row r="455" spans="2:24" ht="12.75">
      <c r="B455" s="426"/>
      <c r="F455" s="428"/>
      <c r="G455" s="428"/>
      <c r="H455" s="428"/>
      <c r="I455" s="428"/>
      <c r="J455" s="428"/>
      <c r="K455" s="428"/>
      <c r="L455" s="428"/>
      <c r="M455" s="428"/>
      <c r="N455" s="428"/>
      <c r="O455" s="428"/>
      <c r="P455" s="428"/>
      <c r="Q455" s="428"/>
      <c r="S455" s="428"/>
      <c r="W455" s="428"/>
      <c r="X455" s="428"/>
    </row>
    <row r="456" spans="2:24" ht="12.75">
      <c r="B456" s="426"/>
      <c r="F456" s="428"/>
      <c r="G456" s="428"/>
      <c r="H456" s="428"/>
      <c r="I456" s="428"/>
      <c r="J456" s="428"/>
      <c r="K456" s="428"/>
      <c r="L456" s="428"/>
      <c r="M456" s="428"/>
      <c r="N456" s="428"/>
      <c r="O456" s="428"/>
      <c r="P456" s="428"/>
      <c r="Q456" s="428"/>
      <c r="S456" s="428"/>
      <c r="W456" s="428"/>
      <c r="X456" s="428"/>
    </row>
    <row r="457" spans="2:24" ht="12.75">
      <c r="B457" s="426"/>
      <c r="F457" s="428"/>
      <c r="G457" s="428"/>
      <c r="H457" s="428"/>
      <c r="I457" s="428"/>
      <c r="J457" s="428"/>
      <c r="K457" s="428"/>
      <c r="L457" s="428"/>
      <c r="M457" s="428"/>
      <c r="N457" s="428"/>
      <c r="O457" s="428"/>
      <c r="P457" s="428"/>
      <c r="Q457" s="428"/>
      <c r="S457" s="428"/>
      <c r="W457" s="428"/>
      <c r="X457" s="428"/>
    </row>
    <row r="458" spans="2:24" ht="12.75">
      <c r="B458" s="426"/>
      <c r="F458" s="428"/>
      <c r="G458" s="428"/>
      <c r="H458" s="428"/>
      <c r="I458" s="428"/>
      <c r="J458" s="428"/>
      <c r="K458" s="428"/>
      <c r="L458" s="428"/>
      <c r="M458" s="428"/>
      <c r="N458" s="428"/>
      <c r="O458" s="428"/>
      <c r="P458" s="428"/>
      <c r="Q458" s="428"/>
      <c r="S458" s="428"/>
      <c r="W458" s="428"/>
      <c r="X458" s="428"/>
    </row>
    <row r="459" spans="2:24" ht="12.75">
      <c r="B459" s="426"/>
      <c r="F459" s="428"/>
      <c r="G459" s="428"/>
      <c r="H459" s="428"/>
      <c r="I459" s="428"/>
      <c r="J459" s="428"/>
      <c r="K459" s="428"/>
      <c r="L459" s="428"/>
      <c r="M459" s="428"/>
      <c r="N459" s="428"/>
      <c r="O459" s="428"/>
      <c r="P459" s="428"/>
      <c r="Q459" s="428"/>
      <c r="S459" s="428"/>
      <c r="W459" s="428"/>
      <c r="X459" s="428"/>
    </row>
    <row r="460" spans="2:24" ht="12.75">
      <c r="B460" s="426"/>
      <c r="F460" s="428"/>
      <c r="G460" s="428"/>
      <c r="H460" s="428"/>
      <c r="I460" s="428"/>
      <c r="J460" s="428"/>
      <c r="K460" s="428"/>
      <c r="L460" s="428"/>
      <c r="M460" s="428"/>
      <c r="N460" s="428"/>
      <c r="O460" s="428"/>
      <c r="P460" s="428"/>
      <c r="Q460" s="428"/>
      <c r="S460" s="428"/>
      <c r="W460" s="428"/>
      <c r="X460" s="428"/>
    </row>
    <row r="461" spans="2:24" ht="12.75">
      <c r="B461" s="426"/>
      <c r="F461" s="428"/>
      <c r="G461" s="428"/>
      <c r="H461" s="428"/>
      <c r="I461" s="428"/>
      <c r="J461" s="428"/>
      <c r="K461" s="428"/>
      <c r="L461" s="428"/>
      <c r="M461" s="428"/>
      <c r="N461" s="428"/>
      <c r="O461" s="428"/>
      <c r="P461" s="428"/>
      <c r="Q461" s="428"/>
      <c r="S461" s="428"/>
      <c r="W461" s="428"/>
      <c r="X461" s="428"/>
    </row>
    <row r="462" spans="2:24" ht="12.75">
      <c r="B462" s="426"/>
      <c r="F462" s="428"/>
      <c r="G462" s="428"/>
      <c r="H462" s="428"/>
      <c r="I462" s="428"/>
      <c r="J462" s="428"/>
      <c r="K462" s="428"/>
      <c r="L462" s="428"/>
      <c r="M462" s="428"/>
      <c r="N462" s="428"/>
      <c r="O462" s="428"/>
      <c r="P462" s="428"/>
      <c r="Q462" s="428"/>
      <c r="S462" s="428"/>
      <c r="W462" s="428"/>
      <c r="X462" s="428"/>
    </row>
    <row r="463" spans="2:24" ht="12.75">
      <c r="B463" s="426"/>
      <c r="F463" s="428"/>
      <c r="G463" s="428"/>
      <c r="H463" s="428"/>
      <c r="I463" s="428"/>
      <c r="J463" s="428"/>
      <c r="K463" s="428"/>
      <c r="L463" s="428"/>
      <c r="M463" s="428"/>
      <c r="N463" s="428"/>
      <c r="O463" s="428"/>
      <c r="P463" s="428"/>
      <c r="Q463" s="428"/>
      <c r="S463" s="428"/>
      <c r="W463" s="428"/>
      <c r="X463" s="428"/>
    </row>
    <row r="464" spans="2:24" ht="12.75">
      <c r="B464" s="426"/>
      <c r="F464" s="428"/>
      <c r="G464" s="428"/>
      <c r="H464" s="428"/>
      <c r="I464" s="428"/>
      <c r="J464" s="428"/>
      <c r="K464" s="428"/>
      <c r="L464" s="428"/>
      <c r="M464" s="428"/>
      <c r="N464" s="428"/>
      <c r="O464" s="428"/>
      <c r="P464" s="428"/>
      <c r="Q464" s="428"/>
      <c r="S464" s="428"/>
      <c r="W464" s="428"/>
      <c r="X464" s="428"/>
    </row>
    <row r="465" spans="2:24" ht="12.75">
      <c r="B465" s="426"/>
      <c r="F465" s="428"/>
      <c r="G465" s="428"/>
      <c r="H465" s="428"/>
      <c r="I465" s="428"/>
      <c r="J465" s="428"/>
      <c r="K465" s="428"/>
      <c r="L465" s="428"/>
      <c r="M465" s="428"/>
      <c r="N465" s="428"/>
      <c r="O465" s="428"/>
      <c r="P465" s="428"/>
      <c r="Q465" s="428"/>
      <c r="S465" s="428"/>
      <c r="W465" s="428"/>
      <c r="X465" s="428"/>
    </row>
    <row r="466" spans="2:24" ht="12.75">
      <c r="B466" s="426"/>
      <c r="F466" s="428"/>
      <c r="G466" s="428"/>
      <c r="H466" s="428"/>
      <c r="I466" s="428"/>
      <c r="J466" s="428"/>
      <c r="K466" s="428"/>
      <c r="L466" s="428"/>
      <c r="M466" s="428"/>
      <c r="N466" s="428"/>
      <c r="O466" s="428"/>
      <c r="P466" s="428"/>
      <c r="Q466" s="428"/>
      <c r="S466" s="428"/>
      <c r="W466" s="428"/>
      <c r="X466" s="428"/>
    </row>
    <row r="467" spans="2:24" ht="12.75">
      <c r="B467" s="426"/>
      <c r="F467" s="428"/>
      <c r="G467" s="428"/>
      <c r="H467" s="428"/>
      <c r="I467" s="428"/>
      <c r="J467" s="428"/>
      <c r="K467" s="428"/>
      <c r="L467" s="428"/>
      <c r="M467" s="428"/>
      <c r="N467" s="428"/>
      <c r="O467" s="428"/>
      <c r="P467" s="428"/>
      <c r="Q467" s="428"/>
      <c r="S467" s="428"/>
      <c r="W467" s="428"/>
      <c r="X467" s="428"/>
    </row>
    <row r="468" spans="2:24" ht="12.75">
      <c r="B468" s="426"/>
      <c r="F468" s="428"/>
      <c r="G468" s="428"/>
      <c r="H468" s="428"/>
      <c r="I468" s="428"/>
      <c r="J468" s="428"/>
      <c r="K468" s="428"/>
      <c r="L468" s="428"/>
      <c r="M468" s="428"/>
      <c r="N468" s="428"/>
      <c r="O468" s="428"/>
      <c r="P468" s="428"/>
      <c r="Q468" s="428"/>
      <c r="S468" s="428"/>
      <c r="W468" s="428"/>
      <c r="X468" s="428"/>
    </row>
    <row r="469" spans="2:24" ht="12.75">
      <c r="B469" s="426"/>
      <c r="F469" s="428"/>
      <c r="G469" s="428"/>
      <c r="H469" s="428"/>
      <c r="I469" s="428"/>
      <c r="J469" s="428"/>
      <c r="K469" s="428"/>
      <c r="L469" s="428"/>
      <c r="M469" s="428"/>
      <c r="N469" s="428"/>
      <c r="O469" s="428"/>
      <c r="P469" s="428"/>
      <c r="Q469" s="428"/>
      <c r="S469" s="428"/>
      <c r="W469" s="428"/>
      <c r="X469" s="428"/>
    </row>
    <row r="470" spans="2:24" ht="12.75">
      <c r="B470" s="426"/>
      <c r="F470" s="428"/>
      <c r="G470" s="428"/>
      <c r="H470" s="428"/>
      <c r="I470" s="428"/>
      <c r="J470" s="428"/>
      <c r="K470" s="428"/>
      <c r="L470" s="428"/>
      <c r="M470" s="428"/>
      <c r="N470" s="428"/>
      <c r="O470" s="428"/>
      <c r="P470" s="428"/>
      <c r="Q470" s="428"/>
      <c r="S470" s="428"/>
      <c r="W470" s="428"/>
      <c r="X470" s="428"/>
    </row>
    <row r="471" spans="2:24" ht="12.75">
      <c r="B471" s="426"/>
      <c r="F471" s="428"/>
      <c r="G471" s="428"/>
      <c r="H471" s="428"/>
      <c r="I471" s="428"/>
      <c r="J471" s="428"/>
      <c r="K471" s="428"/>
      <c r="L471" s="428"/>
      <c r="M471" s="428"/>
      <c r="N471" s="428"/>
      <c r="O471" s="428"/>
      <c r="P471" s="428"/>
      <c r="Q471" s="428"/>
      <c r="S471" s="428"/>
      <c r="W471" s="428"/>
      <c r="X471" s="428"/>
    </row>
    <row r="472" spans="2:24" ht="12.75">
      <c r="B472" s="426"/>
      <c r="F472" s="428"/>
      <c r="G472" s="428"/>
      <c r="H472" s="428"/>
      <c r="I472" s="428"/>
      <c r="J472" s="428"/>
      <c r="K472" s="428"/>
      <c r="L472" s="428"/>
      <c r="M472" s="428"/>
      <c r="N472" s="428"/>
      <c r="O472" s="428"/>
      <c r="P472" s="428"/>
      <c r="Q472" s="428"/>
      <c r="S472" s="428"/>
      <c r="W472" s="428"/>
      <c r="X472" s="428"/>
    </row>
    <row r="473" spans="2:24" ht="12.75">
      <c r="B473" s="426"/>
      <c r="F473" s="428"/>
      <c r="G473" s="428"/>
      <c r="H473" s="428"/>
      <c r="I473" s="428"/>
      <c r="J473" s="428"/>
      <c r="K473" s="428"/>
      <c r="L473" s="428"/>
      <c r="M473" s="428"/>
      <c r="N473" s="428"/>
      <c r="O473" s="428"/>
      <c r="P473" s="428"/>
      <c r="Q473" s="428"/>
      <c r="S473" s="428"/>
      <c r="W473" s="428"/>
      <c r="X473" s="428"/>
    </row>
    <row r="474" spans="2:24" ht="12.75">
      <c r="B474" s="426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  <c r="P474" s="428"/>
      <c r="Q474" s="428"/>
      <c r="S474" s="428"/>
      <c r="W474" s="428"/>
      <c r="X474" s="428"/>
    </row>
    <row r="475" spans="2:24" ht="12.75">
      <c r="B475" s="426"/>
      <c r="F475" s="428"/>
      <c r="G475" s="428"/>
      <c r="H475" s="428"/>
      <c r="I475" s="428"/>
      <c r="J475" s="428"/>
      <c r="K475" s="428"/>
      <c r="L475" s="428"/>
      <c r="M475" s="428"/>
      <c r="N475" s="428"/>
      <c r="O475" s="428"/>
      <c r="P475" s="428"/>
      <c r="Q475" s="428"/>
      <c r="S475" s="428"/>
      <c r="W475" s="428"/>
      <c r="X475" s="428"/>
    </row>
    <row r="476" spans="2:24" ht="12.75">
      <c r="B476" s="426"/>
      <c r="F476" s="428"/>
      <c r="G476" s="428"/>
      <c r="H476" s="428"/>
      <c r="I476" s="428"/>
      <c r="J476" s="428"/>
      <c r="K476" s="428"/>
      <c r="L476" s="428"/>
      <c r="M476" s="428"/>
      <c r="N476" s="428"/>
      <c r="O476" s="428"/>
      <c r="P476" s="428"/>
      <c r="Q476" s="428"/>
      <c r="S476" s="428"/>
      <c r="W476" s="428"/>
      <c r="X476" s="428"/>
    </row>
    <row r="477" spans="2:24" ht="12.75">
      <c r="B477" s="426"/>
      <c r="F477" s="428"/>
      <c r="G477" s="428"/>
      <c r="H477" s="428"/>
      <c r="I477" s="428"/>
      <c r="J477" s="428"/>
      <c r="K477" s="428"/>
      <c r="L477" s="428"/>
      <c r="M477" s="428"/>
      <c r="N477" s="428"/>
      <c r="O477" s="428"/>
      <c r="P477" s="428"/>
      <c r="Q477" s="428"/>
      <c r="S477" s="428"/>
      <c r="W477" s="428"/>
      <c r="X477" s="428"/>
    </row>
    <row r="478" spans="2:24" ht="12.75">
      <c r="B478" s="426"/>
      <c r="F478" s="428"/>
      <c r="G478" s="428"/>
      <c r="H478" s="428"/>
      <c r="I478" s="428"/>
      <c r="J478" s="428"/>
      <c r="K478" s="428"/>
      <c r="L478" s="428"/>
      <c r="M478" s="428"/>
      <c r="N478" s="428"/>
      <c r="O478" s="428"/>
      <c r="P478" s="428"/>
      <c r="Q478" s="428"/>
      <c r="S478" s="428"/>
      <c r="W478" s="428"/>
      <c r="X478" s="428"/>
    </row>
    <row r="479" spans="2:24" ht="12.75">
      <c r="B479" s="426"/>
      <c r="F479" s="428"/>
      <c r="G479" s="428"/>
      <c r="H479" s="428"/>
      <c r="I479" s="428"/>
      <c r="J479" s="428"/>
      <c r="K479" s="428"/>
      <c r="L479" s="428"/>
      <c r="M479" s="428"/>
      <c r="N479" s="428"/>
      <c r="O479" s="428"/>
      <c r="P479" s="428"/>
      <c r="Q479" s="428"/>
      <c r="S479" s="428"/>
      <c r="W479" s="428"/>
      <c r="X479" s="428"/>
    </row>
    <row r="480" spans="2:24" ht="12.75">
      <c r="B480" s="426"/>
      <c r="F480" s="428"/>
      <c r="G480" s="428"/>
      <c r="H480" s="428"/>
      <c r="I480" s="428"/>
      <c r="J480" s="428"/>
      <c r="K480" s="428"/>
      <c r="L480" s="428"/>
      <c r="M480" s="428"/>
      <c r="N480" s="428"/>
      <c r="O480" s="428"/>
      <c r="P480" s="428"/>
      <c r="Q480" s="428"/>
      <c r="S480" s="428"/>
      <c r="W480" s="428"/>
      <c r="X480" s="428"/>
    </row>
    <row r="481" spans="2:24" ht="12.75">
      <c r="B481" s="426"/>
      <c r="F481" s="428"/>
      <c r="G481" s="428"/>
      <c r="H481" s="428"/>
      <c r="I481" s="428"/>
      <c r="J481" s="428"/>
      <c r="K481" s="428"/>
      <c r="L481" s="428"/>
      <c r="M481" s="428"/>
      <c r="N481" s="428"/>
      <c r="O481" s="428"/>
      <c r="P481" s="428"/>
      <c r="Q481" s="428"/>
      <c r="S481" s="428"/>
      <c r="W481" s="428"/>
      <c r="X481" s="428"/>
    </row>
    <row r="482" spans="2:24" ht="12.75">
      <c r="B482" s="426"/>
      <c r="F482" s="428"/>
      <c r="G482" s="428"/>
      <c r="H482" s="428"/>
      <c r="I482" s="428"/>
      <c r="J482" s="428"/>
      <c r="K482" s="428"/>
      <c r="L482" s="428"/>
      <c r="M482" s="428"/>
      <c r="N482" s="428"/>
      <c r="O482" s="428"/>
      <c r="P482" s="428"/>
      <c r="Q482" s="428"/>
      <c r="S482" s="428"/>
      <c r="W482" s="428"/>
      <c r="X482" s="428"/>
    </row>
    <row r="483" spans="2:24" ht="12.75">
      <c r="B483" s="426"/>
      <c r="F483" s="428"/>
      <c r="G483" s="428"/>
      <c r="H483" s="428"/>
      <c r="I483" s="428"/>
      <c r="J483" s="428"/>
      <c r="K483" s="428"/>
      <c r="L483" s="428"/>
      <c r="M483" s="428"/>
      <c r="N483" s="428"/>
      <c r="O483" s="428"/>
      <c r="P483" s="428"/>
      <c r="Q483" s="428"/>
      <c r="S483" s="428"/>
      <c r="W483" s="428"/>
      <c r="X483" s="428"/>
    </row>
    <row r="484" spans="2:24" ht="12.75">
      <c r="B484" s="426"/>
      <c r="F484" s="428"/>
      <c r="G484" s="428"/>
      <c r="H484" s="428"/>
      <c r="I484" s="428"/>
      <c r="J484" s="428"/>
      <c r="K484" s="428"/>
      <c r="L484" s="428"/>
      <c r="M484" s="428"/>
      <c r="N484" s="428"/>
      <c r="O484" s="428"/>
      <c r="P484" s="428"/>
      <c r="Q484" s="428"/>
      <c r="S484" s="428"/>
      <c r="W484" s="428"/>
      <c r="X484" s="428"/>
    </row>
    <row r="485" spans="2:24" ht="12.75">
      <c r="B485" s="426"/>
      <c r="F485" s="428"/>
      <c r="G485" s="428"/>
      <c r="H485" s="428"/>
      <c r="I485" s="428"/>
      <c r="J485" s="428"/>
      <c r="K485" s="428"/>
      <c r="L485" s="428"/>
      <c r="M485" s="428"/>
      <c r="N485" s="428"/>
      <c r="O485" s="428"/>
      <c r="P485" s="428"/>
      <c r="Q485" s="428"/>
      <c r="S485" s="428"/>
      <c r="W485" s="428"/>
      <c r="X485" s="428"/>
    </row>
    <row r="486" spans="2:24" ht="12.75">
      <c r="B486" s="426"/>
      <c r="F486" s="428"/>
      <c r="G486" s="428"/>
      <c r="H486" s="428"/>
      <c r="I486" s="428"/>
      <c r="J486" s="428"/>
      <c r="K486" s="428"/>
      <c r="L486" s="428"/>
      <c r="M486" s="428"/>
      <c r="N486" s="428"/>
      <c r="O486" s="428"/>
      <c r="P486" s="428"/>
      <c r="Q486" s="428"/>
      <c r="S486" s="428"/>
      <c r="W486" s="428"/>
      <c r="X486" s="428"/>
    </row>
    <row r="487" spans="2:24" ht="12.75">
      <c r="B487" s="426"/>
      <c r="F487" s="428"/>
      <c r="G487" s="428"/>
      <c r="H487" s="428"/>
      <c r="I487" s="428"/>
      <c r="J487" s="428"/>
      <c r="K487" s="428"/>
      <c r="L487" s="428"/>
      <c r="M487" s="428"/>
      <c r="N487" s="428"/>
      <c r="O487" s="428"/>
      <c r="P487" s="428"/>
      <c r="Q487" s="428"/>
      <c r="S487" s="428"/>
      <c r="W487" s="428"/>
      <c r="X487" s="428"/>
    </row>
    <row r="488" spans="2:24" ht="12.75">
      <c r="B488" s="426"/>
      <c r="F488" s="428"/>
      <c r="G488" s="428"/>
      <c r="H488" s="428"/>
      <c r="I488" s="428"/>
      <c r="J488" s="428"/>
      <c r="K488" s="428"/>
      <c r="L488" s="428"/>
      <c r="M488" s="428"/>
      <c r="N488" s="428"/>
      <c r="O488" s="428"/>
      <c r="P488" s="428"/>
      <c r="Q488" s="428"/>
      <c r="S488" s="428"/>
      <c r="W488" s="428"/>
      <c r="X488" s="428"/>
    </row>
    <row r="489" spans="2:24" ht="12.75">
      <c r="B489" s="426"/>
      <c r="F489" s="428"/>
      <c r="G489" s="428"/>
      <c r="H489" s="428"/>
      <c r="I489" s="428"/>
      <c r="J489" s="428"/>
      <c r="K489" s="428"/>
      <c r="L489" s="428"/>
      <c r="M489" s="428"/>
      <c r="N489" s="428"/>
      <c r="O489" s="428"/>
      <c r="P489" s="428"/>
      <c r="Q489" s="428"/>
      <c r="S489" s="428"/>
      <c r="W489" s="428"/>
      <c r="X489" s="428"/>
    </row>
    <row r="490" spans="2:24" ht="12.75">
      <c r="B490" s="426"/>
      <c r="F490" s="428"/>
      <c r="G490" s="428"/>
      <c r="H490" s="428"/>
      <c r="I490" s="428"/>
      <c r="J490" s="428"/>
      <c r="K490" s="428"/>
      <c r="L490" s="428"/>
      <c r="M490" s="428"/>
      <c r="N490" s="428"/>
      <c r="O490" s="428"/>
      <c r="P490" s="428"/>
      <c r="Q490" s="428"/>
      <c r="S490" s="428"/>
      <c r="W490" s="428"/>
      <c r="X490" s="428"/>
    </row>
    <row r="491" spans="2:24" ht="12.75">
      <c r="B491" s="426"/>
      <c r="F491" s="428"/>
      <c r="G491" s="428"/>
      <c r="H491" s="428"/>
      <c r="I491" s="428"/>
      <c r="J491" s="428"/>
      <c r="K491" s="428"/>
      <c r="L491" s="428"/>
      <c r="M491" s="428"/>
      <c r="N491" s="428"/>
      <c r="O491" s="428"/>
      <c r="P491" s="428"/>
      <c r="Q491" s="428"/>
      <c r="S491" s="428"/>
      <c r="W491" s="428"/>
      <c r="X491" s="428"/>
    </row>
    <row r="492" spans="2:24" ht="12.75">
      <c r="B492" s="426"/>
      <c r="F492" s="428"/>
      <c r="G492" s="428"/>
      <c r="H492" s="428"/>
      <c r="I492" s="428"/>
      <c r="J492" s="428"/>
      <c r="K492" s="428"/>
      <c r="L492" s="428"/>
      <c r="M492" s="428"/>
      <c r="N492" s="428"/>
      <c r="O492" s="428"/>
      <c r="P492" s="428"/>
      <c r="Q492" s="428"/>
      <c r="S492" s="428"/>
      <c r="W492" s="428"/>
      <c r="X492" s="428"/>
    </row>
    <row r="493" spans="2:24" ht="12.75">
      <c r="B493" s="426"/>
      <c r="F493" s="428"/>
      <c r="G493" s="428"/>
      <c r="H493" s="428"/>
      <c r="I493" s="428"/>
      <c r="J493" s="428"/>
      <c r="K493" s="428"/>
      <c r="L493" s="428"/>
      <c r="M493" s="428"/>
      <c r="N493" s="428"/>
      <c r="O493" s="428"/>
      <c r="P493" s="428"/>
      <c r="Q493" s="428"/>
      <c r="S493" s="428"/>
      <c r="W493" s="428"/>
      <c r="X493" s="428"/>
    </row>
    <row r="494" spans="2:24" ht="12.75">
      <c r="B494" s="426"/>
      <c r="F494" s="428"/>
      <c r="G494" s="428"/>
      <c r="H494" s="428"/>
      <c r="I494" s="428"/>
      <c r="J494" s="428"/>
      <c r="K494" s="428"/>
      <c r="L494" s="428"/>
      <c r="M494" s="428"/>
      <c r="N494" s="428"/>
      <c r="O494" s="428"/>
      <c r="P494" s="428"/>
      <c r="Q494" s="428"/>
      <c r="S494" s="428"/>
      <c r="W494" s="428"/>
      <c r="X494" s="428"/>
    </row>
    <row r="495" spans="2:24" ht="12.75">
      <c r="B495" s="426"/>
      <c r="F495" s="428"/>
      <c r="G495" s="428"/>
      <c r="H495" s="428"/>
      <c r="I495" s="428"/>
      <c r="J495" s="428"/>
      <c r="K495" s="428"/>
      <c r="L495" s="428"/>
      <c r="M495" s="428"/>
      <c r="N495" s="428"/>
      <c r="O495" s="428"/>
      <c r="P495" s="428"/>
      <c r="Q495" s="428"/>
      <c r="S495" s="428"/>
      <c r="W495" s="428"/>
      <c r="X495" s="428"/>
    </row>
    <row r="496" spans="2:24" ht="12.75">
      <c r="B496" s="426"/>
      <c r="F496" s="428"/>
      <c r="G496" s="428"/>
      <c r="H496" s="428"/>
      <c r="I496" s="428"/>
      <c r="J496" s="428"/>
      <c r="K496" s="428"/>
      <c r="L496" s="428"/>
      <c r="M496" s="428"/>
      <c r="N496" s="428"/>
      <c r="O496" s="428"/>
      <c r="P496" s="428"/>
      <c r="Q496" s="428"/>
      <c r="S496" s="428"/>
      <c r="W496" s="428"/>
      <c r="X496" s="428"/>
    </row>
    <row r="497" spans="2:24" ht="12.75">
      <c r="B497" s="426"/>
      <c r="F497" s="428"/>
      <c r="G497" s="428"/>
      <c r="H497" s="428"/>
      <c r="I497" s="428"/>
      <c r="J497" s="428"/>
      <c r="K497" s="428"/>
      <c r="L497" s="428"/>
      <c r="M497" s="428"/>
      <c r="N497" s="428"/>
      <c r="O497" s="428"/>
      <c r="P497" s="428"/>
      <c r="Q497" s="428"/>
      <c r="S497" s="428"/>
      <c r="W497" s="428"/>
      <c r="X497" s="428"/>
    </row>
    <row r="498" spans="2:24" ht="12.75">
      <c r="B498" s="426"/>
      <c r="F498" s="428"/>
      <c r="G498" s="428"/>
      <c r="H498" s="428"/>
      <c r="I498" s="428"/>
      <c r="J498" s="428"/>
      <c r="K498" s="428"/>
      <c r="L498" s="428"/>
      <c r="M498" s="428"/>
      <c r="N498" s="428"/>
      <c r="O498" s="428"/>
      <c r="P498" s="428"/>
      <c r="Q498" s="428"/>
      <c r="S498" s="428"/>
      <c r="W498" s="428"/>
      <c r="X498" s="428"/>
    </row>
    <row r="499" spans="2:24" ht="12.75">
      <c r="B499" s="426"/>
      <c r="F499" s="428"/>
      <c r="G499" s="428"/>
      <c r="H499" s="428"/>
      <c r="I499" s="428"/>
      <c r="J499" s="428"/>
      <c r="K499" s="428"/>
      <c r="L499" s="428"/>
      <c r="M499" s="428"/>
      <c r="N499" s="428"/>
      <c r="O499" s="428"/>
      <c r="P499" s="428"/>
      <c r="Q499" s="428"/>
      <c r="S499" s="428"/>
      <c r="W499" s="428"/>
      <c r="X499" s="428"/>
    </row>
    <row r="500" spans="2:24" ht="12.75">
      <c r="B500" s="426"/>
      <c r="F500" s="428"/>
      <c r="G500" s="428"/>
      <c r="H500" s="428"/>
      <c r="I500" s="428"/>
      <c r="J500" s="428"/>
      <c r="K500" s="428"/>
      <c r="L500" s="428"/>
      <c r="M500" s="428"/>
      <c r="N500" s="428"/>
      <c r="O500" s="428"/>
      <c r="P500" s="428"/>
      <c r="Q500" s="428"/>
      <c r="S500" s="428"/>
      <c r="W500" s="428"/>
      <c r="X500" s="428"/>
    </row>
    <row r="501" spans="2:24" ht="12.75">
      <c r="B501" s="426"/>
      <c r="F501" s="428"/>
      <c r="G501" s="428"/>
      <c r="H501" s="428"/>
      <c r="I501" s="428"/>
      <c r="J501" s="428"/>
      <c r="K501" s="428"/>
      <c r="L501" s="428"/>
      <c r="M501" s="428"/>
      <c r="N501" s="428"/>
      <c r="O501" s="428"/>
      <c r="P501" s="428"/>
      <c r="Q501" s="428"/>
      <c r="S501" s="428"/>
      <c r="W501" s="428"/>
      <c r="X501" s="428"/>
    </row>
    <row r="502" spans="2:24" ht="12.75">
      <c r="B502" s="426"/>
      <c r="F502" s="428"/>
      <c r="G502" s="428"/>
      <c r="H502" s="428"/>
      <c r="I502" s="428"/>
      <c r="J502" s="428"/>
      <c r="K502" s="428"/>
      <c r="L502" s="428"/>
      <c r="M502" s="428"/>
      <c r="N502" s="428"/>
      <c r="O502" s="428"/>
      <c r="P502" s="428"/>
      <c r="Q502" s="428"/>
      <c r="S502" s="428"/>
      <c r="W502" s="428"/>
      <c r="X502" s="428"/>
    </row>
    <row r="503" spans="2:24" ht="12.75">
      <c r="B503" s="426"/>
      <c r="F503" s="428"/>
      <c r="G503" s="428"/>
      <c r="H503" s="428"/>
      <c r="I503" s="428"/>
      <c r="J503" s="428"/>
      <c r="K503" s="428"/>
      <c r="L503" s="428"/>
      <c r="M503" s="428"/>
      <c r="N503" s="428"/>
      <c r="O503" s="428"/>
      <c r="P503" s="428"/>
      <c r="Q503" s="428"/>
      <c r="S503" s="428"/>
      <c r="W503" s="428"/>
      <c r="X503" s="428"/>
    </row>
    <row r="504" spans="2:24" ht="12.75">
      <c r="B504" s="426"/>
      <c r="F504" s="428"/>
      <c r="G504" s="428"/>
      <c r="H504" s="428"/>
      <c r="I504" s="428"/>
      <c r="J504" s="428"/>
      <c r="K504" s="428"/>
      <c r="L504" s="428"/>
      <c r="M504" s="428"/>
      <c r="N504" s="428"/>
      <c r="O504" s="428"/>
      <c r="P504" s="428"/>
      <c r="Q504" s="428"/>
      <c r="S504" s="428"/>
      <c r="W504" s="428"/>
      <c r="X504" s="428"/>
    </row>
    <row r="505" spans="2:24" ht="12.75">
      <c r="B505" s="426"/>
      <c r="F505" s="428"/>
      <c r="G505" s="428"/>
      <c r="H505" s="428"/>
      <c r="I505" s="428"/>
      <c r="J505" s="428"/>
      <c r="K505" s="428"/>
      <c r="L505" s="428"/>
      <c r="M505" s="428"/>
      <c r="N505" s="428"/>
      <c r="O505" s="428"/>
      <c r="P505" s="428"/>
      <c r="Q505" s="428"/>
      <c r="S505" s="428"/>
      <c r="W505" s="428"/>
      <c r="X505" s="428"/>
    </row>
    <row r="506" spans="2:24" ht="12.75">
      <c r="B506" s="426"/>
      <c r="F506" s="428"/>
      <c r="G506" s="428"/>
      <c r="H506" s="428"/>
      <c r="I506" s="428"/>
      <c r="J506" s="428"/>
      <c r="K506" s="428"/>
      <c r="L506" s="428"/>
      <c r="M506" s="428"/>
      <c r="N506" s="428"/>
      <c r="O506" s="428"/>
      <c r="P506" s="428"/>
      <c r="Q506" s="428"/>
      <c r="S506" s="428"/>
      <c r="W506" s="428"/>
      <c r="X506" s="428"/>
    </row>
    <row r="507" spans="2:24" ht="12.75">
      <c r="B507" s="426"/>
      <c r="F507" s="428"/>
      <c r="G507" s="428"/>
      <c r="H507" s="428"/>
      <c r="I507" s="428"/>
      <c r="J507" s="428"/>
      <c r="K507" s="428"/>
      <c r="L507" s="428"/>
      <c r="M507" s="428"/>
      <c r="N507" s="428"/>
      <c r="O507" s="428"/>
      <c r="P507" s="428"/>
      <c r="Q507" s="428"/>
      <c r="S507" s="428"/>
      <c r="W507" s="428"/>
      <c r="X507" s="428"/>
    </row>
    <row r="508" spans="2:24" ht="12.75">
      <c r="B508" s="426"/>
      <c r="F508" s="428"/>
      <c r="G508" s="428"/>
      <c r="H508" s="428"/>
      <c r="I508" s="428"/>
      <c r="J508" s="428"/>
      <c r="K508" s="428"/>
      <c r="L508" s="428"/>
      <c r="M508" s="428"/>
      <c r="N508" s="428"/>
      <c r="O508" s="428"/>
      <c r="P508" s="428"/>
      <c r="Q508" s="428"/>
      <c r="S508" s="428"/>
      <c r="W508" s="428"/>
      <c r="X508" s="428"/>
    </row>
    <row r="509" spans="2:24" ht="12.75">
      <c r="B509" s="426"/>
      <c r="F509" s="428"/>
      <c r="G509" s="428"/>
      <c r="H509" s="428"/>
      <c r="I509" s="428"/>
      <c r="J509" s="428"/>
      <c r="K509" s="428"/>
      <c r="L509" s="428"/>
      <c r="M509" s="428"/>
      <c r="N509" s="428"/>
      <c r="O509" s="428"/>
      <c r="P509" s="428"/>
      <c r="Q509" s="428"/>
      <c r="S509" s="428"/>
      <c r="W509" s="428"/>
      <c r="X509" s="428"/>
    </row>
    <row r="510" spans="2:24" ht="12.75">
      <c r="B510" s="426"/>
      <c r="F510" s="428"/>
      <c r="G510" s="428"/>
      <c r="H510" s="428"/>
      <c r="I510" s="428"/>
      <c r="J510" s="428"/>
      <c r="K510" s="428"/>
      <c r="L510" s="428"/>
      <c r="M510" s="428"/>
      <c r="N510" s="428"/>
      <c r="O510" s="428"/>
      <c r="P510" s="428"/>
      <c r="Q510" s="428"/>
      <c r="S510" s="428"/>
      <c r="W510" s="428"/>
      <c r="X510" s="428"/>
    </row>
    <row r="511" spans="2:24" ht="12.75">
      <c r="B511" s="426"/>
      <c r="F511" s="428"/>
      <c r="G511" s="428"/>
      <c r="H511" s="428"/>
      <c r="I511" s="428"/>
      <c r="J511" s="428"/>
      <c r="K511" s="428"/>
      <c r="L511" s="428"/>
      <c r="M511" s="428"/>
      <c r="N511" s="428"/>
      <c r="O511" s="428"/>
      <c r="P511" s="428"/>
      <c r="Q511" s="428"/>
      <c r="S511" s="428"/>
      <c r="W511" s="428"/>
      <c r="X511" s="428"/>
    </row>
    <row r="512" spans="2:24" ht="12.75">
      <c r="B512" s="426"/>
      <c r="F512" s="428"/>
      <c r="G512" s="428"/>
      <c r="H512" s="428"/>
      <c r="I512" s="428"/>
      <c r="J512" s="428"/>
      <c r="K512" s="428"/>
      <c r="L512" s="428"/>
      <c r="M512" s="428"/>
      <c r="N512" s="428"/>
      <c r="O512" s="428"/>
      <c r="P512" s="428"/>
      <c r="Q512" s="428"/>
      <c r="S512" s="428"/>
      <c r="W512" s="428"/>
      <c r="X512" s="428"/>
    </row>
    <row r="513" spans="2:24" ht="12.75">
      <c r="B513" s="426"/>
      <c r="F513" s="428"/>
      <c r="G513" s="428"/>
      <c r="H513" s="428"/>
      <c r="I513" s="428"/>
      <c r="J513" s="428"/>
      <c r="K513" s="428"/>
      <c r="L513" s="428"/>
      <c r="M513" s="428"/>
      <c r="N513" s="428"/>
      <c r="O513" s="428"/>
      <c r="P513" s="428"/>
      <c r="Q513" s="428"/>
      <c r="S513" s="428"/>
      <c r="W513" s="428"/>
      <c r="X513" s="428"/>
    </row>
    <row r="514" spans="2:24" ht="12.75">
      <c r="B514" s="426"/>
      <c r="F514" s="428"/>
      <c r="G514" s="428"/>
      <c r="H514" s="428"/>
      <c r="I514" s="428"/>
      <c r="J514" s="428"/>
      <c r="K514" s="428"/>
      <c r="L514" s="428"/>
      <c r="M514" s="428"/>
      <c r="N514" s="428"/>
      <c r="O514" s="428"/>
      <c r="P514" s="428"/>
      <c r="Q514" s="428"/>
      <c r="S514" s="428"/>
      <c r="W514" s="428"/>
      <c r="X514" s="428"/>
    </row>
    <row r="515" spans="2:24" ht="12.75">
      <c r="B515" s="426"/>
      <c r="F515" s="428"/>
      <c r="G515" s="428"/>
      <c r="H515" s="428"/>
      <c r="I515" s="428"/>
      <c r="J515" s="428"/>
      <c r="K515" s="428"/>
      <c r="L515" s="428"/>
      <c r="M515" s="428"/>
      <c r="N515" s="428"/>
      <c r="O515" s="428"/>
      <c r="P515" s="428"/>
      <c r="Q515" s="428"/>
      <c r="S515" s="428"/>
      <c r="W515" s="428"/>
      <c r="X515" s="428"/>
    </row>
    <row r="516" spans="2:24" ht="12.75">
      <c r="B516" s="426"/>
      <c r="F516" s="428"/>
      <c r="G516" s="428"/>
      <c r="H516" s="428"/>
      <c r="I516" s="428"/>
      <c r="J516" s="428"/>
      <c r="K516" s="428"/>
      <c r="L516" s="428"/>
      <c r="M516" s="428"/>
      <c r="N516" s="428"/>
      <c r="O516" s="428"/>
      <c r="P516" s="428"/>
      <c r="Q516" s="428"/>
      <c r="S516" s="428"/>
      <c r="W516" s="428"/>
      <c r="X516" s="428"/>
    </row>
    <row r="517" spans="2:24" ht="12.75">
      <c r="B517" s="426"/>
      <c r="F517" s="428"/>
      <c r="G517" s="428"/>
      <c r="H517" s="428"/>
      <c r="I517" s="428"/>
      <c r="J517" s="428"/>
      <c r="K517" s="428"/>
      <c r="L517" s="428"/>
      <c r="M517" s="428"/>
      <c r="N517" s="428"/>
      <c r="O517" s="428"/>
      <c r="P517" s="428"/>
      <c r="Q517" s="428"/>
      <c r="S517" s="428"/>
      <c r="W517" s="428"/>
      <c r="X517" s="428"/>
    </row>
    <row r="518" spans="2:24" ht="12.75">
      <c r="B518" s="426"/>
      <c r="F518" s="428"/>
      <c r="G518" s="428"/>
      <c r="H518" s="428"/>
      <c r="I518" s="428"/>
      <c r="J518" s="428"/>
      <c r="K518" s="428"/>
      <c r="L518" s="428"/>
      <c r="M518" s="428"/>
      <c r="N518" s="428"/>
      <c r="O518" s="428"/>
      <c r="P518" s="428"/>
      <c r="Q518" s="428"/>
      <c r="S518" s="428"/>
      <c r="W518" s="428"/>
      <c r="X518" s="428"/>
    </row>
    <row r="519" spans="2:24" ht="12.75">
      <c r="B519" s="426"/>
      <c r="F519" s="428"/>
      <c r="G519" s="428"/>
      <c r="H519" s="428"/>
      <c r="I519" s="428"/>
      <c r="J519" s="428"/>
      <c r="K519" s="428"/>
      <c r="L519" s="428"/>
      <c r="M519" s="428"/>
      <c r="N519" s="428"/>
      <c r="O519" s="428"/>
      <c r="P519" s="428"/>
      <c r="Q519" s="428"/>
      <c r="S519" s="428"/>
      <c r="W519" s="428"/>
      <c r="X519" s="428"/>
    </row>
    <row r="520" spans="2:24" ht="12.75">
      <c r="B520" s="426"/>
      <c r="F520" s="428"/>
      <c r="G520" s="428"/>
      <c r="H520" s="428"/>
      <c r="I520" s="428"/>
      <c r="J520" s="428"/>
      <c r="K520" s="428"/>
      <c r="L520" s="428"/>
      <c r="M520" s="428"/>
      <c r="N520" s="428"/>
      <c r="O520" s="428"/>
      <c r="P520" s="428"/>
      <c r="Q520" s="428"/>
      <c r="S520" s="428"/>
      <c r="W520" s="428"/>
      <c r="X520" s="428"/>
    </row>
    <row r="521" spans="2:24" ht="12.75">
      <c r="B521" s="426"/>
      <c r="F521" s="428"/>
      <c r="G521" s="428"/>
      <c r="H521" s="428"/>
      <c r="I521" s="428"/>
      <c r="J521" s="428"/>
      <c r="K521" s="428"/>
      <c r="L521" s="428"/>
      <c r="M521" s="428"/>
      <c r="N521" s="428"/>
      <c r="O521" s="428"/>
      <c r="P521" s="428"/>
      <c r="Q521" s="428"/>
      <c r="S521" s="428"/>
      <c r="W521" s="428"/>
      <c r="X521" s="428"/>
    </row>
    <row r="522" spans="2:24" ht="12.75">
      <c r="B522" s="426"/>
      <c r="F522" s="428"/>
      <c r="G522" s="428"/>
      <c r="H522" s="428"/>
      <c r="I522" s="428"/>
      <c r="J522" s="428"/>
      <c r="K522" s="428"/>
      <c r="L522" s="428"/>
      <c r="M522" s="428"/>
      <c r="N522" s="428"/>
      <c r="O522" s="428"/>
      <c r="P522" s="428"/>
      <c r="Q522" s="428"/>
      <c r="S522" s="428"/>
      <c r="W522" s="428"/>
      <c r="X522" s="428"/>
    </row>
    <row r="523" spans="2:24" ht="12.75">
      <c r="B523" s="426"/>
      <c r="F523" s="428"/>
      <c r="G523" s="428"/>
      <c r="H523" s="428"/>
      <c r="I523" s="428"/>
      <c r="J523" s="428"/>
      <c r="K523" s="428"/>
      <c r="L523" s="428"/>
      <c r="M523" s="428"/>
      <c r="N523" s="428"/>
      <c r="O523" s="428"/>
      <c r="P523" s="428"/>
      <c r="Q523" s="428"/>
      <c r="S523" s="428"/>
      <c r="W523" s="428"/>
      <c r="X523" s="428"/>
    </row>
    <row r="524" spans="2:24" ht="12.75">
      <c r="B524" s="426"/>
      <c r="F524" s="428"/>
      <c r="G524" s="428"/>
      <c r="H524" s="428"/>
      <c r="I524" s="428"/>
      <c r="J524" s="428"/>
      <c r="K524" s="428"/>
      <c r="L524" s="428"/>
      <c r="M524" s="428"/>
      <c r="N524" s="428"/>
      <c r="O524" s="428"/>
      <c r="P524" s="428"/>
      <c r="Q524" s="428"/>
      <c r="S524" s="428"/>
      <c r="W524" s="428"/>
      <c r="X524" s="428"/>
    </row>
    <row r="525" spans="2:24" ht="12.75">
      <c r="B525" s="426"/>
      <c r="F525" s="428"/>
      <c r="G525" s="428"/>
      <c r="H525" s="428"/>
      <c r="I525" s="428"/>
      <c r="J525" s="428"/>
      <c r="K525" s="428"/>
      <c r="L525" s="428"/>
      <c r="M525" s="428"/>
      <c r="N525" s="428"/>
      <c r="O525" s="428"/>
      <c r="P525" s="428"/>
      <c r="Q525" s="428"/>
      <c r="S525" s="428"/>
      <c r="W525" s="428"/>
      <c r="X525" s="428"/>
    </row>
    <row r="526" spans="2:24" ht="12.75">
      <c r="B526" s="426"/>
      <c r="F526" s="428"/>
      <c r="G526" s="428"/>
      <c r="H526" s="428"/>
      <c r="I526" s="428"/>
      <c r="J526" s="428"/>
      <c r="K526" s="428"/>
      <c r="L526" s="428"/>
      <c r="M526" s="428"/>
      <c r="N526" s="428"/>
      <c r="O526" s="428"/>
      <c r="P526" s="428"/>
      <c r="Q526" s="428"/>
      <c r="S526" s="428"/>
      <c r="W526" s="428"/>
      <c r="X526" s="428"/>
    </row>
    <row r="527" spans="2:24" ht="12.75">
      <c r="B527" s="426"/>
      <c r="F527" s="428"/>
      <c r="G527" s="428"/>
      <c r="H527" s="428"/>
      <c r="I527" s="428"/>
      <c r="J527" s="428"/>
      <c r="K527" s="428"/>
      <c r="L527" s="428"/>
      <c r="M527" s="428"/>
      <c r="N527" s="428"/>
      <c r="O527" s="428"/>
      <c r="P527" s="428"/>
      <c r="Q527" s="428"/>
      <c r="S527" s="428"/>
      <c r="W527" s="428"/>
      <c r="X527" s="428"/>
    </row>
    <row r="528" spans="2:24" ht="12.75">
      <c r="B528" s="426"/>
      <c r="F528" s="428"/>
      <c r="G528" s="428"/>
      <c r="H528" s="428"/>
      <c r="I528" s="428"/>
      <c r="J528" s="428"/>
      <c r="K528" s="428"/>
      <c r="L528" s="428"/>
      <c r="M528" s="428"/>
      <c r="N528" s="428"/>
      <c r="O528" s="428"/>
      <c r="P528" s="428"/>
      <c r="Q528" s="428"/>
      <c r="S528" s="428"/>
      <c r="W528" s="428"/>
      <c r="X528" s="428"/>
    </row>
    <row r="529" spans="2:24" ht="12.75">
      <c r="B529" s="426"/>
      <c r="F529" s="428"/>
      <c r="G529" s="428"/>
      <c r="H529" s="428"/>
      <c r="I529" s="428"/>
      <c r="J529" s="428"/>
      <c r="K529" s="428"/>
      <c r="L529" s="428"/>
      <c r="M529" s="428"/>
      <c r="N529" s="428"/>
      <c r="O529" s="428"/>
      <c r="P529" s="428"/>
      <c r="Q529" s="428"/>
      <c r="S529" s="428"/>
      <c r="W529" s="428"/>
      <c r="X529" s="428"/>
    </row>
    <row r="530" spans="2:24" ht="12.75">
      <c r="B530" s="426"/>
      <c r="F530" s="428"/>
      <c r="G530" s="428"/>
      <c r="H530" s="428"/>
      <c r="I530" s="428"/>
      <c r="J530" s="428"/>
      <c r="K530" s="428"/>
      <c r="L530" s="428"/>
      <c r="M530" s="428"/>
      <c r="N530" s="428"/>
      <c r="O530" s="428"/>
      <c r="P530" s="428"/>
      <c r="Q530" s="428"/>
      <c r="S530" s="428"/>
      <c r="W530" s="428"/>
      <c r="X530" s="428"/>
    </row>
    <row r="531" spans="2:24" ht="12.75">
      <c r="B531" s="426"/>
      <c r="F531" s="428"/>
      <c r="G531" s="428"/>
      <c r="H531" s="428"/>
      <c r="I531" s="428"/>
      <c r="J531" s="428"/>
      <c r="K531" s="428"/>
      <c r="L531" s="428"/>
      <c r="M531" s="428"/>
      <c r="N531" s="428"/>
      <c r="O531" s="428"/>
      <c r="P531" s="428"/>
      <c r="Q531" s="428"/>
      <c r="S531" s="428"/>
      <c r="W531" s="428"/>
      <c r="X531" s="428"/>
    </row>
    <row r="532" spans="2:24" ht="12.75">
      <c r="B532" s="426"/>
      <c r="F532" s="428"/>
      <c r="G532" s="428"/>
      <c r="H532" s="428"/>
      <c r="I532" s="428"/>
      <c r="J532" s="428"/>
      <c r="K532" s="428"/>
      <c r="L532" s="428"/>
      <c r="M532" s="428"/>
      <c r="N532" s="428"/>
      <c r="O532" s="428"/>
      <c r="P532" s="428"/>
      <c r="Q532" s="428"/>
      <c r="S532" s="428"/>
      <c r="W532" s="428"/>
      <c r="X532" s="428"/>
    </row>
    <row r="533" spans="2:24" ht="12.75">
      <c r="B533" s="426"/>
      <c r="F533" s="428"/>
      <c r="G533" s="428"/>
      <c r="H533" s="428"/>
      <c r="I533" s="428"/>
      <c r="J533" s="428"/>
      <c r="K533" s="428"/>
      <c r="L533" s="428"/>
      <c r="M533" s="428"/>
      <c r="N533" s="428"/>
      <c r="O533" s="428"/>
      <c r="P533" s="428"/>
      <c r="Q533" s="428"/>
      <c r="S533" s="428"/>
      <c r="W533" s="428"/>
      <c r="X533" s="428"/>
    </row>
    <row r="534" spans="2:24" ht="12.75">
      <c r="B534" s="426"/>
      <c r="F534" s="428"/>
      <c r="G534" s="428"/>
      <c r="H534" s="428"/>
      <c r="I534" s="428"/>
      <c r="J534" s="428"/>
      <c r="K534" s="428"/>
      <c r="L534" s="428"/>
      <c r="M534" s="428"/>
      <c r="N534" s="428"/>
      <c r="O534" s="428"/>
      <c r="P534" s="428"/>
      <c r="Q534" s="428"/>
      <c r="S534" s="428"/>
      <c r="W534" s="428"/>
      <c r="X534" s="428"/>
    </row>
    <row r="535" spans="2:24" ht="12.75">
      <c r="B535" s="426"/>
      <c r="F535" s="428"/>
      <c r="G535" s="428"/>
      <c r="H535" s="428"/>
      <c r="I535" s="428"/>
      <c r="J535" s="428"/>
      <c r="K535" s="428"/>
      <c r="L535" s="428"/>
      <c r="M535" s="428"/>
      <c r="N535" s="428"/>
      <c r="O535" s="428"/>
      <c r="P535" s="428"/>
      <c r="Q535" s="428"/>
      <c r="S535" s="428"/>
      <c r="W535" s="428"/>
      <c r="X535" s="428"/>
    </row>
    <row r="536" spans="2:24" ht="12.75">
      <c r="B536" s="426"/>
      <c r="F536" s="428"/>
      <c r="G536" s="428"/>
      <c r="H536" s="428"/>
      <c r="I536" s="428"/>
      <c r="J536" s="428"/>
      <c r="K536" s="428"/>
      <c r="L536" s="428"/>
      <c r="M536" s="428"/>
      <c r="N536" s="428"/>
      <c r="O536" s="428"/>
      <c r="P536" s="428"/>
      <c r="Q536" s="428"/>
      <c r="S536" s="428"/>
      <c r="W536" s="428"/>
      <c r="X536" s="428"/>
    </row>
    <row r="537" spans="2:24" ht="12.75">
      <c r="B537" s="426"/>
      <c r="F537" s="428"/>
      <c r="G537" s="428"/>
      <c r="H537" s="428"/>
      <c r="I537" s="428"/>
      <c r="J537" s="428"/>
      <c r="K537" s="428"/>
      <c r="L537" s="428"/>
      <c r="M537" s="428"/>
      <c r="N537" s="428"/>
      <c r="O537" s="428"/>
      <c r="P537" s="428"/>
      <c r="Q537" s="428"/>
      <c r="S537" s="428"/>
      <c r="W537" s="428"/>
      <c r="X537" s="428"/>
    </row>
    <row r="538" spans="2:24" ht="12.75">
      <c r="B538" s="426"/>
      <c r="F538" s="428"/>
      <c r="G538" s="428"/>
      <c r="H538" s="428"/>
      <c r="I538" s="428"/>
      <c r="J538" s="428"/>
      <c r="K538" s="428"/>
      <c r="L538" s="428"/>
      <c r="M538" s="428"/>
      <c r="N538" s="428"/>
      <c r="O538" s="428"/>
      <c r="P538" s="428"/>
      <c r="Q538" s="428"/>
      <c r="S538" s="428"/>
      <c r="W538" s="428"/>
      <c r="X538" s="428"/>
    </row>
    <row r="539" spans="2:24" ht="12.75">
      <c r="B539" s="426"/>
      <c r="F539" s="428"/>
      <c r="G539" s="428"/>
      <c r="H539" s="428"/>
      <c r="I539" s="428"/>
      <c r="J539" s="428"/>
      <c r="K539" s="428"/>
      <c r="L539" s="428"/>
      <c r="M539" s="428"/>
      <c r="N539" s="428"/>
      <c r="O539" s="428"/>
      <c r="P539" s="428"/>
      <c r="Q539" s="428"/>
      <c r="S539" s="428"/>
      <c r="W539" s="428"/>
      <c r="X539" s="428"/>
    </row>
    <row r="540" spans="2:24" ht="12.75">
      <c r="B540" s="426"/>
      <c r="F540" s="428"/>
      <c r="G540" s="428"/>
      <c r="H540" s="428"/>
      <c r="I540" s="428"/>
      <c r="J540" s="428"/>
      <c r="K540" s="428"/>
      <c r="L540" s="428"/>
      <c r="M540" s="428"/>
      <c r="N540" s="428"/>
      <c r="O540" s="428"/>
      <c r="P540" s="428"/>
      <c r="Q540" s="428"/>
      <c r="S540" s="428"/>
      <c r="W540" s="428"/>
      <c r="X540" s="428"/>
    </row>
    <row r="541" spans="2:24" ht="12.75">
      <c r="B541" s="426"/>
      <c r="F541" s="428"/>
      <c r="G541" s="428"/>
      <c r="H541" s="428"/>
      <c r="I541" s="428"/>
      <c r="J541" s="428"/>
      <c r="K541" s="428"/>
      <c r="L541" s="428"/>
      <c r="M541" s="428"/>
      <c r="N541" s="428"/>
      <c r="O541" s="428"/>
      <c r="P541" s="428"/>
      <c r="Q541" s="428"/>
      <c r="S541" s="428"/>
      <c r="W541" s="428"/>
      <c r="X541" s="428"/>
    </row>
    <row r="542" spans="2:24" ht="12.75">
      <c r="B542" s="426"/>
      <c r="F542" s="428"/>
      <c r="G542" s="428"/>
      <c r="H542" s="428"/>
      <c r="I542" s="428"/>
      <c r="J542" s="428"/>
      <c r="K542" s="428"/>
      <c r="L542" s="428"/>
      <c r="M542" s="428"/>
      <c r="N542" s="428"/>
      <c r="O542" s="428"/>
      <c r="P542" s="428"/>
      <c r="Q542" s="428"/>
      <c r="S542" s="428"/>
      <c r="W542" s="428"/>
      <c r="X542" s="428"/>
    </row>
    <row r="543" spans="2:24" ht="12.75">
      <c r="B543" s="426"/>
      <c r="F543" s="428"/>
      <c r="G543" s="428"/>
      <c r="H543" s="428"/>
      <c r="I543" s="428"/>
      <c r="J543" s="428"/>
      <c r="K543" s="428"/>
      <c r="L543" s="428"/>
      <c r="M543" s="428"/>
      <c r="N543" s="428"/>
      <c r="O543" s="428"/>
      <c r="P543" s="428"/>
      <c r="Q543" s="428"/>
      <c r="S543" s="428"/>
      <c r="W543" s="428"/>
      <c r="X543" s="428"/>
    </row>
    <row r="544" spans="2:24" ht="12.75">
      <c r="B544" s="426"/>
      <c r="F544" s="428"/>
      <c r="G544" s="428"/>
      <c r="H544" s="428"/>
      <c r="I544" s="428"/>
      <c r="J544" s="428"/>
      <c r="K544" s="428"/>
      <c r="L544" s="428"/>
      <c r="M544" s="428"/>
      <c r="N544" s="428"/>
      <c r="O544" s="428"/>
      <c r="P544" s="428"/>
      <c r="Q544" s="428"/>
      <c r="S544" s="428"/>
      <c r="W544" s="428"/>
      <c r="X544" s="428"/>
    </row>
    <row r="545" spans="2:24" ht="12.75">
      <c r="B545" s="426"/>
      <c r="F545" s="428"/>
      <c r="G545" s="428"/>
      <c r="H545" s="428"/>
      <c r="I545" s="428"/>
      <c r="J545" s="428"/>
      <c r="K545" s="428"/>
      <c r="L545" s="428"/>
      <c r="M545" s="428"/>
      <c r="N545" s="428"/>
      <c r="O545" s="428"/>
      <c r="P545" s="428"/>
      <c r="Q545" s="428"/>
      <c r="S545" s="428"/>
      <c r="W545" s="428"/>
      <c r="X545" s="428"/>
    </row>
    <row r="546" spans="2:24" ht="12.75">
      <c r="B546" s="426"/>
      <c r="F546" s="428"/>
      <c r="G546" s="428"/>
      <c r="H546" s="428"/>
      <c r="I546" s="428"/>
      <c r="J546" s="428"/>
      <c r="K546" s="428"/>
      <c r="L546" s="428"/>
      <c r="M546" s="428"/>
      <c r="N546" s="428"/>
      <c r="O546" s="428"/>
      <c r="P546" s="428"/>
      <c r="Q546" s="428"/>
      <c r="S546" s="428"/>
      <c r="W546" s="428"/>
      <c r="X546" s="428"/>
    </row>
    <row r="547" spans="2:24" ht="12.75">
      <c r="B547" s="426"/>
      <c r="F547" s="428"/>
      <c r="G547" s="428"/>
      <c r="H547" s="428"/>
      <c r="I547" s="428"/>
      <c r="J547" s="428"/>
      <c r="K547" s="428"/>
      <c r="L547" s="428"/>
      <c r="M547" s="428"/>
      <c r="N547" s="428"/>
      <c r="O547" s="428"/>
      <c r="P547" s="428"/>
      <c r="Q547" s="428"/>
      <c r="S547" s="428"/>
      <c r="W547" s="428"/>
      <c r="X547" s="428"/>
    </row>
    <row r="548" spans="2:24" ht="12.75">
      <c r="B548" s="426"/>
      <c r="F548" s="428"/>
      <c r="G548" s="428"/>
      <c r="H548" s="428"/>
      <c r="I548" s="428"/>
      <c r="J548" s="428"/>
      <c r="K548" s="428"/>
      <c r="L548" s="428"/>
      <c r="M548" s="428"/>
      <c r="N548" s="428"/>
      <c r="O548" s="428"/>
      <c r="P548" s="428"/>
      <c r="Q548" s="428"/>
      <c r="S548" s="428"/>
      <c r="W548" s="428"/>
      <c r="X548" s="428"/>
    </row>
    <row r="549" spans="2:24" ht="12.75">
      <c r="B549" s="426"/>
      <c r="F549" s="428"/>
      <c r="G549" s="428"/>
      <c r="H549" s="428"/>
      <c r="I549" s="428"/>
      <c r="J549" s="428"/>
      <c r="K549" s="428"/>
      <c r="L549" s="428"/>
      <c r="M549" s="428"/>
      <c r="N549" s="428"/>
      <c r="O549" s="428"/>
      <c r="P549" s="428"/>
      <c r="Q549" s="428"/>
      <c r="S549" s="428"/>
      <c r="W549" s="428"/>
      <c r="X549" s="428"/>
    </row>
    <row r="550" spans="2:24" ht="12.75">
      <c r="B550" s="426"/>
      <c r="F550" s="428"/>
      <c r="G550" s="428"/>
      <c r="H550" s="428"/>
      <c r="I550" s="428"/>
      <c r="J550" s="428"/>
      <c r="K550" s="428"/>
      <c r="L550" s="428"/>
      <c r="M550" s="428"/>
      <c r="N550" s="428"/>
      <c r="O550" s="428"/>
      <c r="P550" s="428"/>
      <c r="Q550" s="428"/>
      <c r="S550" s="428"/>
      <c r="W550" s="428"/>
      <c r="X550" s="428"/>
    </row>
    <row r="551" spans="2:24" ht="12.75">
      <c r="B551" s="426"/>
      <c r="F551" s="428"/>
      <c r="G551" s="428"/>
      <c r="H551" s="428"/>
      <c r="I551" s="428"/>
      <c r="J551" s="428"/>
      <c r="K551" s="428"/>
      <c r="L551" s="428"/>
      <c r="M551" s="428"/>
      <c r="N551" s="428"/>
      <c r="O551" s="428"/>
      <c r="P551" s="428"/>
      <c r="Q551" s="428"/>
      <c r="S551" s="428"/>
      <c r="W551" s="428"/>
      <c r="X551" s="428"/>
    </row>
    <row r="552" spans="2:24" ht="12.75">
      <c r="B552" s="426"/>
      <c r="F552" s="428"/>
      <c r="G552" s="428"/>
      <c r="H552" s="428"/>
      <c r="I552" s="428"/>
      <c r="J552" s="428"/>
      <c r="K552" s="428"/>
      <c r="L552" s="428"/>
      <c r="M552" s="428"/>
      <c r="N552" s="428"/>
      <c r="O552" s="428"/>
      <c r="P552" s="428"/>
      <c r="Q552" s="428"/>
      <c r="S552" s="428"/>
      <c r="W552" s="428"/>
      <c r="X552" s="428"/>
    </row>
    <row r="553" spans="2:24" ht="12.75">
      <c r="B553" s="426"/>
      <c r="F553" s="428"/>
      <c r="G553" s="428"/>
      <c r="H553" s="428"/>
      <c r="I553" s="428"/>
      <c r="J553" s="428"/>
      <c r="K553" s="428"/>
      <c r="L553" s="428"/>
      <c r="M553" s="428"/>
      <c r="N553" s="428"/>
      <c r="O553" s="428"/>
      <c r="P553" s="428"/>
      <c r="Q553" s="428"/>
      <c r="S553" s="428"/>
      <c r="W553" s="428"/>
      <c r="X553" s="428"/>
    </row>
    <row r="554" spans="2:24" ht="12.75">
      <c r="B554" s="426"/>
      <c r="F554" s="428"/>
      <c r="G554" s="428"/>
      <c r="H554" s="428"/>
      <c r="I554" s="428"/>
      <c r="J554" s="428"/>
      <c r="K554" s="428"/>
      <c r="L554" s="428"/>
      <c r="M554" s="428"/>
      <c r="N554" s="428"/>
      <c r="O554" s="428"/>
      <c r="P554" s="428"/>
      <c r="Q554" s="428"/>
      <c r="S554" s="428"/>
      <c r="W554" s="428"/>
      <c r="X554" s="428"/>
    </row>
    <row r="555" spans="2:24" ht="12.75">
      <c r="B555" s="426"/>
      <c r="F555" s="428"/>
      <c r="G555" s="428"/>
      <c r="H555" s="428"/>
      <c r="I555" s="428"/>
      <c r="J555" s="428"/>
      <c r="K555" s="428"/>
      <c r="L555" s="428"/>
      <c r="M555" s="428"/>
      <c r="N555" s="428"/>
      <c r="O555" s="428"/>
      <c r="P555" s="428"/>
      <c r="Q555" s="428"/>
      <c r="S555" s="428"/>
      <c r="W555" s="428"/>
      <c r="X555" s="428"/>
    </row>
    <row r="556" spans="2:24" ht="12.75">
      <c r="B556" s="426"/>
      <c r="F556" s="428"/>
      <c r="G556" s="428"/>
      <c r="H556" s="428"/>
      <c r="I556" s="428"/>
      <c r="J556" s="428"/>
      <c r="K556" s="428"/>
      <c r="L556" s="428"/>
      <c r="M556" s="428"/>
      <c r="N556" s="428"/>
      <c r="O556" s="428"/>
      <c r="P556" s="428"/>
      <c r="Q556" s="428"/>
      <c r="S556" s="428"/>
      <c r="W556" s="428"/>
      <c r="X556" s="428"/>
    </row>
    <row r="557" spans="2:24" ht="12.75">
      <c r="B557" s="426"/>
      <c r="F557" s="428"/>
      <c r="G557" s="428"/>
      <c r="H557" s="428"/>
      <c r="I557" s="428"/>
      <c r="J557" s="428"/>
      <c r="K557" s="428"/>
      <c r="L557" s="428"/>
      <c r="M557" s="428"/>
      <c r="N557" s="428"/>
      <c r="O557" s="428"/>
      <c r="P557" s="428"/>
      <c r="Q557" s="428"/>
      <c r="S557" s="428"/>
      <c r="W557" s="428"/>
      <c r="X557" s="428"/>
    </row>
    <row r="558" spans="2:24" ht="12.75">
      <c r="B558" s="426"/>
      <c r="F558" s="428"/>
      <c r="G558" s="428"/>
      <c r="H558" s="428"/>
      <c r="I558" s="428"/>
      <c r="J558" s="428"/>
      <c r="K558" s="428"/>
      <c r="L558" s="428"/>
      <c r="M558" s="428"/>
      <c r="N558" s="428"/>
      <c r="O558" s="428"/>
      <c r="P558" s="428"/>
      <c r="Q558" s="428"/>
      <c r="S558" s="428"/>
      <c r="W558" s="428"/>
      <c r="X558" s="428"/>
    </row>
    <row r="559" spans="2:24" ht="12.75">
      <c r="B559" s="426"/>
      <c r="F559" s="428"/>
      <c r="G559" s="428"/>
      <c r="H559" s="428"/>
      <c r="I559" s="428"/>
      <c r="J559" s="428"/>
      <c r="K559" s="428"/>
      <c r="L559" s="428"/>
      <c r="M559" s="428"/>
      <c r="N559" s="428"/>
      <c r="O559" s="428"/>
      <c r="P559" s="428"/>
      <c r="Q559" s="428"/>
      <c r="S559" s="428"/>
      <c r="W559" s="428"/>
      <c r="X559" s="428"/>
    </row>
    <row r="560" spans="2:24" ht="12.75">
      <c r="B560" s="426"/>
      <c r="F560" s="428"/>
      <c r="G560" s="428"/>
      <c r="H560" s="428"/>
      <c r="I560" s="428"/>
      <c r="J560" s="428"/>
      <c r="K560" s="428"/>
      <c r="L560" s="428"/>
      <c r="M560" s="428"/>
      <c r="N560" s="428"/>
      <c r="O560" s="428"/>
      <c r="P560" s="428"/>
      <c r="Q560" s="428"/>
      <c r="S560" s="428"/>
      <c r="W560" s="428"/>
      <c r="X560" s="428"/>
    </row>
    <row r="561" spans="2:24" ht="12.75">
      <c r="B561" s="426"/>
      <c r="F561" s="428"/>
      <c r="G561" s="428"/>
      <c r="H561" s="428"/>
      <c r="I561" s="428"/>
      <c r="J561" s="428"/>
      <c r="K561" s="428"/>
      <c r="L561" s="428"/>
      <c r="M561" s="428"/>
      <c r="N561" s="428"/>
      <c r="O561" s="428"/>
      <c r="P561" s="428"/>
      <c r="Q561" s="428"/>
      <c r="S561" s="428"/>
      <c r="W561" s="428"/>
      <c r="X561" s="428"/>
    </row>
    <row r="562" spans="2:24" ht="12.75">
      <c r="B562" s="426"/>
      <c r="F562" s="428"/>
      <c r="G562" s="428"/>
      <c r="H562" s="428"/>
      <c r="I562" s="428"/>
      <c r="J562" s="428"/>
      <c r="K562" s="428"/>
      <c r="L562" s="428"/>
      <c r="M562" s="428"/>
      <c r="N562" s="428"/>
      <c r="O562" s="428"/>
      <c r="P562" s="428"/>
      <c r="Q562" s="428"/>
      <c r="S562" s="428"/>
      <c r="W562" s="428"/>
      <c r="X562" s="428"/>
    </row>
    <row r="563" spans="2:24" ht="12.75">
      <c r="B563" s="426"/>
      <c r="F563" s="428"/>
      <c r="G563" s="428"/>
      <c r="H563" s="428"/>
      <c r="I563" s="428"/>
      <c r="J563" s="428"/>
      <c r="K563" s="428"/>
      <c r="L563" s="428"/>
      <c r="M563" s="428"/>
      <c r="N563" s="428"/>
      <c r="O563" s="428"/>
      <c r="P563" s="428"/>
      <c r="Q563" s="428"/>
      <c r="S563" s="428"/>
      <c r="W563" s="428"/>
      <c r="X563" s="428"/>
    </row>
    <row r="564" spans="2:24" ht="12.75">
      <c r="B564" s="426"/>
      <c r="F564" s="428"/>
      <c r="G564" s="428"/>
      <c r="H564" s="428"/>
      <c r="I564" s="428"/>
      <c r="J564" s="428"/>
      <c r="K564" s="428"/>
      <c r="L564" s="428"/>
      <c r="M564" s="428"/>
      <c r="N564" s="428"/>
      <c r="O564" s="428"/>
      <c r="P564" s="428"/>
      <c r="Q564" s="428"/>
      <c r="S564" s="428"/>
      <c r="W564" s="428"/>
      <c r="X564" s="428"/>
    </row>
    <row r="565" spans="2:24" ht="12.75">
      <c r="B565" s="426"/>
      <c r="F565" s="428"/>
      <c r="G565" s="428"/>
      <c r="H565" s="428"/>
      <c r="I565" s="428"/>
      <c r="J565" s="428"/>
      <c r="K565" s="428"/>
      <c r="L565" s="428"/>
      <c r="M565" s="428"/>
      <c r="N565" s="428"/>
      <c r="O565" s="428"/>
      <c r="P565" s="428"/>
      <c r="Q565" s="428"/>
      <c r="S565" s="428"/>
      <c r="W565" s="428"/>
      <c r="X565" s="428"/>
    </row>
    <row r="566" spans="2:24" ht="12.75">
      <c r="B566" s="426"/>
      <c r="F566" s="428"/>
      <c r="G566" s="428"/>
      <c r="H566" s="428"/>
      <c r="I566" s="428"/>
      <c r="J566" s="428"/>
      <c r="K566" s="428"/>
      <c r="L566" s="428"/>
      <c r="M566" s="428"/>
      <c r="N566" s="428"/>
      <c r="O566" s="428"/>
      <c r="P566" s="428"/>
      <c r="Q566" s="428"/>
      <c r="S566" s="428"/>
      <c r="W566" s="428"/>
      <c r="X566" s="428"/>
    </row>
    <row r="567" spans="2:24" ht="12.75">
      <c r="B567" s="426"/>
      <c r="F567" s="428"/>
      <c r="G567" s="428"/>
      <c r="H567" s="428"/>
      <c r="I567" s="428"/>
      <c r="J567" s="428"/>
      <c r="K567" s="428"/>
      <c r="L567" s="428"/>
      <c r="M567" s="428"/>
      <c r="N567" s="428"/>
      <c r="O567" s="428"/>
      <c r="P567" s="428"/>
      <c r="Q567" s="428"/>
      <c r="S567" s="428"/>
      <c r="W567" s="428"/>
      <c r="X567" s="428"/>
    </row>
    <row r="568" spans="2:24" ht="12.75">
      <c r="B568" s="426"/>
      <c r="F568" s="428"/>
      <c r="G568" s="428"/>
      <c r="H568" s="428"/>
      <c r="I568" s="428"/>
      <c r="J568" s="428"/>
      <c r="K568" s="428"/>
      <c r="L568" s="428"/>
      <c r="M568" s="428"/>
      <c r="N568" s="428"/>
      <c r="O568" s="428"/>
      <c r="P568" s="428"/>
      <c r="Q568" s="428"/>
      <c r="S568" s="428"/>
      <c r="W568" s="428"/>
      <c r="X568" s="428"/>
    </row>
    <row r="569" spans="2:24" ht="12.75">
      <c r="B569" s="426"/>
      <c r="F569" s="428"/>
      <c r="G569" s="428"/>
      <c r="H569" s="428"/>
      <c r="I569" s="428"/>
      <c r="J569" s="428"/>
      <c r="K569" s="428"/>
      <c r="L569" s="428"/>
      <c r="M569" s="428"/>
      <c r="N569" s="428"/>
      <c r="O569" s="428"/>
      <c r="P569" s="428"/>
      <c r="Q569" s="428"/>
      <c r="S569" s="428"/>
      <c r="W569" s="428"/>
      <c r="X569" s="428"/>
    </row>
    <row r="570" spans="2:24" ht="12.75">
      <c r="B570" s="426"/>
      <c r="F570" s="428"/>
      <c r="G570" s="428"/>
      <c r="H570" s="428"/>
      <c r="I570" s="428"/>
      <c r="J570" s="428"/>
      <c r="K570" s="428"/>
      <c r="L570" s="428"/>
      <c r="M570" s="428"/>
      <c r="N570" s="428"/>
      <c r="O570" s="428"/>
      <c r="P570" s="428"/>
      <c r="Q570" s="428"/>
      <c r="S570" s="428"/>
      <c r="W570" s="428"/>
      <c r="X570" s="428"/>
    </row>
    <row r="571" spans="2:24" ht="12.75">
      <c r="B571" s="426"/>
      <c r="F571" s="428"/>
      <c r="G571" s="428"/>
      <c r="H571" s="428"/>
      <c r="I571" s="428"/>
      <c r="J571" s="428"/>
      <c r="K571" s="428"/>
      <c r="L571" s="428"/>
      <c r="M571" s="428"/>
      <c r="N571" s="428"/>
      <c r="O571" s="428"/>
      <c r="P571" s="428"/>
      <c r="Q571" s="428"/>
      <c r="S571" s="428"/>
      <c r="W571" s="428"/>
      <c r="X571" s="428"/>
    </row>
    <row r="572" spans="2:24" ht="12.75">
      <c r="B572" s="426"/>
      <c r="F572" s="428"/>
      <c r="G572" s="428"/>
      <c r="H572" s="428"/>
      <c r="I572" s="428"/>
      <c r="J572" s="428"/>
      <c r="K572" s="428"/>
      <c r="L572" s="428"/>
      <c r="M572" s="428"/>
      <c r="N572" s="428"/>
      <c r="O572" s="428"/>
      <c r="P572" s="428"/>
      <c r="Q572" s="428"/>
      <c r="S572" s="428"/>
      <c r="W572" s="428"/>
      <c r="X572" s="428"/>
    </row>
    <row r="573" spans="2:24" ht="12.75">
      <c r="B573" s="426"/>
      <c r="F573" s="428"/>
      <c r="G573" s="428"/>
      <c r="H573" s="428"/>
      <c r="I573" s="428"/>
      <c r="J573" s="428"/>
      <c r="K573" s="428"/>
      <c r="L573" s="428"/>
      <c r="M573" s="428"/>
      <c r="N573" s="428"/>
      <c r="O573" s="428"/>
      <c r="P573" s="428"/>
      <c r="Q573" s="428"/>
      <c r="S573" s="428"/>
      <c r="W573" s="428"/>
      <c r="X573" s="428"/>
    </row>
    <row r="574" spans="2:24" ht="12.75">
      <c r="B574" s="426"/>
      <c r="F574" s="428"/>
      <c r="G574" s="428"/>
      <c r="H574" s="428"/>
      <c r="I574" s="428"/>
      <c r="J574" s="428"/>
      <c r="K574" s="428"/>
      <c r="L574" s="428"/>
      <c r="M574" s="428"/>
      <c r="N574" s="428"/>
      <c r="O574" s="428"/>
      <c r="P574" s="428"/>
      <c r="Q574" s="428"/>
      <c r="S574" s="428"/>
      <c r="W574" s="428"/>
      <c r="X574" s="428"/>
    </row>
    <row r="575" spans="2:24" ht="12.75">
      <c r="B575" s="426"/>
      <c r="F575" s="428"/>
      <c r="G575" s="428"/>
      <c r="H575" s="428"/>
      <c r="I575" s="428"/>
      <c r="J575" s="428"/>
      <c r="K575" s="428"/>
      <c r="L575" s="428"/>
      <c r="M575" s="428"/>
      <c r="N575" s="428"/>
      <c r="O575" s="428"/>
      <c r="P575" s="428"/>
      <c r="Q575" s="428"/>
      <c r="S575" s="428"/>
      <c r="W575" s="428"/>
      <c r="X575" s="428"/>
    </row>
    <row r="576" spans="2:24" ht="12.75">
      <c r="B576" s="426"/>
      <c r="F576" s="428"/>
      <c r="G576" s="428"/>
      <c r="H576" s="428"/>
      <c r="I576" s="428"/>
      <c r="J576" s="428"/>
      <c r="K576" s="428"/>
      <c r="L576" s="428"/>
      <c r="M576" s="428"/>
      <c r="N576" s="428"/>
      <c r="O576" s="428"/>
      <c r="P576" s="428"/>
      <c r="Q576" s="428"/>
      <c r="S576" s="428"/>
      <c r="W576" s="428"/>
      <c r="X576" s="428"/>
    </row>
    <row r="577" spans="2:24" ht="12.75">
      <c r="B577" s="426"/>
      <c r="F577" s="428"/>
      <c r="G577" s="428"/>
      <c r="H577" s="428"/>
      <c r="I577" s="428"/>
      <c r="J577" s="428"/>
      <c r="K577" s="428"/>
      <c r="L577" s="428"/>
      <c r="M577" s="428"/>
      <c r="N577" s="428"/>
      <c r="O577" s="428"/>
      <c r="P577" s="428"/>
      <c r="Q577" s="428"/>
      <c r="S577" s="428"/>
      <c r="W577" s="428"/>
      <c r="X577" s="428"/>
    </row>
    <row r="578" spans="2:24" ht="12.75">
      <c r="B578" s="426"/>
      <c r="F578" s="428"/>
      <c r="G578" s="428"/>
      <c r="H578" s="428"/>
      <c r="I578" s="428"/>
      <c r="J578" s="428"/>
      <c r="K578" s="428"/>
      <c r="L578" s="428"/>
      <c r="M578" s="428"/>
      <c r="N578" s="428"/>
      <c r="O578" s="428"/>
      <c r="P578" s="428"/>
      <c r="Q578" s="428"/>
      <c r="S578" s="428"/>
      <c r="W578" s="428"/>
      <c r="X578" s="428"/>
    </row>
    <row r="579" spans="2:24" ht="12.75">
      <c r="B579" s="426"/>
      <c r="F579" s="428"/>
      <c r="G579" s="428"/>
      <c r="H579" s="428"/>
      <c r="I579" s="428"/>
      <c r="J579" s="428"/>
      <c r="K579" s="428"/>
      <c r="L579" s="428"/>
      <c r="M579" s="428"/>
      <c r="N579" s="428"/>
      <c r="O579" s="428"/>
      <c r="P579" s="428"/>
      <c r="Q579" s="428"/>
      <c r="S579" s="428"/>
      <c r="W579" s="428"/>
      <c r="X579" s="428"/>
    </row>
    <row r="580" spans="2:24" ht="12.75">
      <c r="B580" s="426"/>
      <c r="F580" s="428"/>
      <c r="G580" s="428"/>
      <c r="H580" s="428"/>
      <c r="I580" s="428"/>
      <c r="J580" s="428"/>
      <c r="K580" s="428"/>
      <c r="L580" s="428"/>
      <c r="M580" s="428"/>
      <c r="N580" s="428"/>
      <c r="O580" s="428"/>
      <c r="P580" s="428"/>
      <c r="Q580" s="428"/>
      <c r="S580" s="428"/>
      <c r="W580" s="428"/>
      <c r="X580" s="428"/>
    </row>
    <row r="581" spans="2:24" ht="12.75">
      <c r="B581" s="426"/>
      <c r="F581" s="428"/>
      <c r="G581" s="428"/>
      <c r="H581" s="428"/>
      <c r="I581" s="428"/>
      <c r="J581" s="428"/>
      <c r="K581" s="428"/>
      <c r="L581" s="428"/>
      <c r="M581" s="428"/>
      <c r="N581" s="428"/>
      <c r="O581" s="428"/>
      <c r="P581" s="428"/>
      <c r="Q581" s="428"/>
      <c r="S581" s="428"/>
      <c r="W581" s="428"/>
      <c r="X581" s="428"/>
    </row>
    <row r="582" spans="2:24" ht="12.75">
      <c r="B582" s="426"/>
      <c r="F582" s="428"/>
      <c r="G582" s="428"/>
      <c r="H582" s="428"/>
      <c r="I582" s="428"/>
      <c r="J582" s="428"/>
      <c r="K582" s="428"/>
      <c r="L582" s="428"/>
      <c r="M582" s="428"/>
      <c r="N582" s="428"/>
      <c r="O582" s="428"/>
      <c r="P582" s="428"/>
      <c r="Q582" s="428"/>
      <c r="S582" s="428"/>
      <c r="W582" s="428"/>
      <c r="X582" s="428"/>
    </row>
    <row r="583" spans="2:24" ht="12.75">
      <c r="B583" s="426"/>
      <c r="F583" s="428"/>
      <c r="G583" s="428"/>
      <c r="H583" s="428"/>
      <c r="I583" s="428"/>
      <c r="J583" s="428"/>
      <c r="K583" s="428"/>
      <c r="L583" s="428"/>
      <c r="M583" s="428"/>
      <c r="N583" s="428"/>
      <c r="O583" s="428"/>
      <c r="P583" s="428"/>
      <c r="Q583" s="428"/>
      <c r="S583" s="428"/>
      <c r="W583" s="428"/>
      <c r="X583" s="428"/>
    </row>
    <row r="584" spans="2:24" ht="12.75">
      <c r="B584" s="426"/>
      <c r="F584" s="428"/>
      <c r="G584" s="428"/>
      <c r="H584" s="428"/>
      <c r="I584" s="428"/>
      <c r="J584" s="428"/>
      <c r="K584" s="428"/>
      <c r="L584" s="428"/>
      <c r="M584" s="428"/>
      <c r="N584" s="428"/>
      <c r="O584" s="428"/>
      <c r="P584" s="428"/>
      <c r="Q584" s="428"/>
      <c r="S584" s="428"/>
      <c r="W584" s="428"/>
      <c r="X584" s="428"/>
    </row>
    <row r="585" spans="2:24" ht="12.75">
      <c r="B585" s="426"/>
      <c r="F585" s="428"/>
      <c r="G585" s="428"/>
      <c r="H585" s="428"/>
      <c r="I585" s="428"/>
      <c r="J585" s="428"/>
      <c r="K585" s="428"/>
      <c r="L585" s="428"/>
      <c r="M585" s="428"/>
      <c r="N585" s="428"/>
      <c r="O585" s="428"/>
      <c r="P585" s="428"/>
      <c r="Q585" s="428"/>
      <c r="S585" s="428"/>
      <c r="W585" s="428"/>
      <c r="X585" s="428"/>
    </row>
    <row r="586" spans="2:24" ht="12.75">
      <c r="B586" s="426"/>
      <c r="F586" s="428"/>
      <c r="G586" s="428"/>
      <c r="H586" s="428"/>
      <c r="I586" s="428"/>
      <c r="J586" s="428"/>
      <c r="K586" s="428"/>
      <c r="L586" s="428"/>
      <c r="M586" s="428"/>
      <c r="N586" s="428"/>
      <c r="O586" s="428"/>
      <c r="P586" s="428"/>
      <c r="Q586" s="428"/>
      <c r="S586" s="428"/>
      <c r="W586" s="428"/>
      <c r="X586" s="428"/>
    </row>
    <row r="587" spans="2:24" ht="12.75">
      <c r="B587" s="426"/>
      <c r="F587" s="428"/>
      <c r="G587" s="428"/>
      <c r="H587" s="428"/>
      <c r="I587" s="428"/>
      <c r="J587" s="428"/>
      <c r="K587" s="428"/>
      <c r="L587" s="428"/>
      <c r="M587" s="428"/>
      <c r="N587" s="428"/>
      <c r="O587" s="428"/>
      <c r="P587" s="428"/>
      <c r="Q587" s="428"/>
      <c r="S587" s="428"/>
      <c r="W587" s="428"/>
      <c r="X587" s="428"/>
    </row>
    <row r="588" spans="2:24" ht="12.75">
      <c r="B588" s="426"/>
      <c r="F588" s="428"/>
      <c r="G588" s="428"/>
      <c r="H588" s="428"/>
      <c r="I588" s="428"/>
      <c r="J588" s="428"/>
      <c r="K588" s="428"/>
      <c r="L588" s="428"/>
      <c r="M588" s="428"/>
      <c r="N588" s="428"/>
      <c r="O588" s="428"/>
      <c r="P588" s="428"/>
      <c r="Q588" s="428"/>
      <c r="S588" s="428"/>
      <c r="W588" s="428"/>
      <c r="X588" s="428"/>
    </row>
    <row r="589" spans="2:24" ht="12.75">
      <c r="B589" s="426"/>
      <c r="F589" s="428"/>
      <c r="G589" s="428"/>
      <c r="H589" s="428"/>
      <c r="I589" s="428"/>
      <c r="J589" s="428"/>
      <c r="K589" s="428"/>
      <c r="L589" s="428"/>
      <c r="M589" s="428"/>
      <c r="N589" s="428"/>
      <c r="O589" s="428"/>
      <c r="P589" s="428"/>
      <c r="Q589" s="428"/>
      <c r="S589" s="428"/>
      <c r="W589" s="428"/>
      <c r="X589" s="428"/>
    </row>
    <row r="590" spans="2:24" ht="12.75">
      <c r="B590" s="426"/>
      <c r="F590" s="428"/>
      <c r="G590" s="428"/>
      <c r="H590" s="428"/>
      <c r="I590" s="428"/>
      <c r="J590" s="428"/>
      <c r="K590" s="428"/>
      <c r="L590" s="428"/>
      <c r="M590" s="428"/>
      <c r="N590" s="428"/>
      <c r="O590" s="428"/>
      <c r="P590" s="428"/>
      <c r="Q590" s="428"/>
      <c r="S590" s="428"/>
      <c r="W590" s="428"/>
      <c r="X590" s="428"/>
    </row>
    <row r="591" spans="2:24" ht="12.75">
      <c r="B591" s="426"/>
      <c r="F591" s="428"/>
      <c r="G591" s="428"/>
      <c r="H591" s="428"/>
      <c r="I591" s="428"/>
      <c r="J591" s="428"/>
      <c r="K591" s="428"/>
      <c r="L591" s="428"/>
      <c r="M591" s="428"/>
      <c r="N591" s="428"/>
      <c r="O591" s="428"/>
      <c r="P591" s="428"/>
      <c r="Q591" s="428"/>
      <c r="S591" s="428"/>
      <c r="W591" s="428"/>
      <c r="X591" s="428"/>
    </row>
    <row r="592" spans="2:24" ht="12.75">
      <c r="B592" s="426"/>
      <c r="F592" s="428"/>
      <c r="G592" s="428"/>
      <c r="H592" s="428"/>
      <c r="I592" s="428"/>
      <c r="J592" s="428"/>
      <c r="K592" s="428"/>
      <c r="L592" s="428"/>
      <c r="M592" s="428"/>
      <c r="N592" s="428"/>
      <c r="O592" s="428"/>
      <c r="P592" s="428"/>
      <c r="Q592" s="428"/>
      <c r="S592" s="428"/>
      <c r="W592" s="428"/>
      <c r="X592" s="428"/>
    </row>
    <row r="593" spans="2:24" ht="12.75">
      <c r="B593" s="426"/>
      <c r="F593" s="428"/>
      <c r="G593" s="428"/>
      <c r="H593" s="428"/>
      <c r="I593" s="428"/>
      <c r="J593" s="428"/>
      <c r="K593" s="428"/>
      <c r="L593" s="428"/>
      <c r="M593" s="428"/>
      <c r="N593" s="428"/>
      <c r="O593" s="428"/>
      <c r="P593" s="428"/>
      <c r="Q593" s="428"/>
      <c r="S593" s="428"/>
      <c r="W593" s="428"/>
      <c r="X593" s="428"/>
    </row>
    <row r="594" spans="2:24" ht="12.75">
      <c r="B594" s="426"/>
      <c r="F594" s="428"/>
      <c r="G594" s="428"/>
      <c r="H594" s="428"/>
      <c r="I594" s="428"/>
      <c r="J594" s="428"/>
      <c r="K594" s="428"/>
      <c r="L594" s="428"/>
      <c r="M594" s="428"/>
      <c r="N594" s="428"/>
      <c r="O594" s="428"/>
      <c r="P594" s="428"/>
      <c r="Q594" s="428"/>
      <c r="S594" s="428"/>
      <c r="W594" s="428"/>
      <c r="X594" s="428"/>
    </row>
    <row r="595" spans="2:24" ht="12.75">
      <c r="B595" s="426"/>
      <c r="F595" s="428"/>
      <c r="G595" s="428"/>
      <c r="H595" s="428"/>
      <c r="I595" s="428"/>
      <c r="J595" s="428"/>
      <c r="K595" s="428"/>
      <c r="L595" s="428"/>
      <c r="M595" s="428"/>
      <c r="N595" s="428"/>
      <c r="O595" s="428"/>
      <c r="P595" s="428"/>
      <c r="Q595" s="428"/>
      <c r="S595" s="428"/>
      <c r="W595" s="428"/>
      <c r="X595" s="428"/>
    </row>
    <row r="596" spans="2:24" ht="12.75">
      <c r="B596" s="426"/>
      <c r="F596" s="428"/>
      <c r="G596" s="428"/>
      <c r="H596" s="428"/>
      <c r="I596" s="428"/>
      <c r="J596" s="428"/>
      <c r="K596" s="428"/>
      <c r="L596" s="428"/>
      <c r="M596" s="428"/>
      <c r="N596" s="428"/>
      <c r="O596" s="428"/>
      <c r="P596" s="428"/>
      <c r="Q596" s="428"/>
      <c r="S596" s="428"/>
      <c r="W596" s="428"/>
      <c r="X596" s="428"/>
    </row>
    <row r="597" spans="2:24" ht="12.75">
      <c r="B597" s="426"/>
      <c r="F597" s="428"/>
      <c r="G597" s="428"/>
      <c r="H597" s="428"/>
      <c r="I597" s="428"/>
      <c r="J597" s="428"/>
      <c r="K597" s="428"/>
      <c r="L597" s="428"/>
      <c r="M597" s="428"/>
      <c r="N597" s="428"/>
      <c r="O597" s="428"/>
      <c r="P597" s="428"/>
      <c r="Q597" s="428"/>
      <c r="S597" s="428"/>
      <c r="W597" s="428"/>
      <c r="X597" s="428"/>
    </row>
    <row r="598" spans="2:24" ht="12.75">
      <c r="B598" s="426"/>
      <c r="F598" s="428"/>
      <c r="G598" s="428"/>
      <c r="H598" s="428"/>
      <c r="I598" s="428"/>
      <c r="J598" s="428"/>
      <c r="K598" s="428"/>
      <c r="L598" s="428"/>
      <c r="M598" s="428"/>
      <c r="N598" s="428"/>
      <c r="O598" s="428"/>
      <c r="P598" s="428"/>
      <c r="Q598" s="428"/>
      <c r="S598" s="428"/>
      <c r="W598" s="428"/>
      <c r="X598" s="428"/>
    </row>
    <row r="599" spans="2:24" ht="12.75">
      <c r="B599" s="426"/>
      <c r="F599" s="428"/>
      <c r="G599" s="428"/>
      <c r="H599" s="428"/>
      <c r="I599" s="428"/>
      <c r="J599" s="428"/>
      <c r="K599" s="428"/>
      <c r="L599" s="428"/>
      <c r="M599" s="428"/>
      <c r="N599" s="428"/>
      <c r="O599" s="428"/>
      <c r="P599" s="428"/>
      <c r="Q599" s="428"/>
      <c r="S599" s="428"/>
      <c r="W599" s="428"/>
      <c r="X599" s="428"/>
    </row>
    <row r="600" spans="2:24" ht="12.75">
      <c r="B600" s="426"/>
      <c r="F600" s="428"/>
      <c r="G600" s="428"/>
      <c r="H600" s="428"/>
      <c r="I600" s="428"/>
      <c r="J600" s="428"/>
      <c r="K600" s="428"/>
      <c r="L600" s="428"/>
      <c r="M600" s="428"/>
      <c r="N600" s="428"/>
      <c r="O600" s="428"/>
      <c r="P600" s="428"/>
      <c r="Q600" s="428"/>
      <c r="S600" s="428"/>
      <c r="W600" s="428"/>
      <c r="X600" s="428"/>
    </row>
    <row r="601" spans="2:24" ht="12.75">
      <c r="B601" s="426"/>
      <c r="F601" s="428"/>
      <c r="G601" s="428"/>
      <c r="H601" s="428"/>
      <c r="I601" s="428"/>
      <c r="J601" s="428"/>
      <c r="K601" s="428"/>
      <c r="L601" s="428"/>
      <c r="M601" s="428"/>
      <c r="N601" s="428"/>
      <c r="O601" s="428"/>
      <c r="P601" s="428"/>
      <c r="Q601" s="428"/>
      <c r="S601" s="428"/>
      <c r="W601" s="428"/>
      <c r="X601" s="428"/>
    </row>
    <row r="602" spans="2:24" ht="12.75">
      <c r="B602" s="426"/>
      <c r="F602" s="428"/>
      <c r="G602" s="428"/>
      <c r="H602" s="428"/>
      <c r="I602" s="428"/>
      <c r="J602" s="428"/>
      <c r="K602" s="428"/>
      <c r="L602" s="428"/>
      <c r="M602" s="428"/>
      <c r="N602" s="428"/>
      <c r="O602" s="428"/>
      <c r="P602" s="428"/>
      <c r="Q602" s="428"/>
      <c r="S602" s="428"/>
      <c r="W602" s="428"/>
      <c r="X602" s="428"/>
    </row>
    <row r="603" spans="2:24" ht="12.75">
      <c r="B603" s="426"/>
      <c r="F603" s="428"/>
      <c r="G603" s="428"/>
      <c r="H603" s="428"/>
      <c r="I603" s="428"/>
      <c r="J603" s="428"/>
      <c r="K603" s="428"/>
      <c r="L603" s="428"/>
      <c r="M603" s="428"/>
      <c r="N603" s="428"/>
      <c r="O603" s="428"/>
      <c r="P603" s="428"/>
      <c r="Q603" s="428"/>
      <c r="S603" s="428"/>
      <c r="W603" s="428"/>
      <c r="X603" s="428"/>
    </row>
    <row r="604" spans="2:24" ht="12.75">
      <c r="B604" s="426"/>
      <c r="F604" s="428"/>
      <c r="G604" s="428"/>
      <c r="H604" s="428"/>
      <c r="I604" s="428"/>
      <c r="J604" s="428"/>
      <c r="K604" s="428"/>
      <c r="L604" s="428"/>
      <c r="M604" s="428"/>
      <c r="N604" s="428"/>
      <c r="O604" s="428"/>
      <c r="P604" s="428"/>
      <c r="Q604" s="428"/>
      <c r="S604" s="428"/>
      <c r="W604" s="428"/>
      <c r="X604" s="428"/>
    </row>
    <row r="605" spans="2:24" ht="12.75">
      <c r="B605" s="426"/>
      <c r="F605" s="428"/>
      <c r="G605" s="428"/>
      <c r="H605" s="428"/>
      <c r="I605" s="428"/>
      <c r="J605" s="428"/>
      <c r="K605" s="428"/>
      <c r="L605" s="428"/>
      <c r="M605" s="428"/>
      <c r="N605" s="428"/>
      <c r="O605" s="428"/>
      <c r="P605" s="428"/>
      <c r="Q605" s="428"/>
      <c r="S605" s="428"/>
      <c r="W605" s="428"/>
      <c r="X605" s="428"/>
    </row>
    <row r="606" spans="2:24" ht="12.75">
      <c r="B606" s="426"/>
      <c r="F606" s="428"/>
      <c r="G606" s="428"/>
      <c r="H606" s="428"/>
      <c r="I606" s="428"/>
      <c r="J606" s="428"/>
      <c r="K606" s="428"/>
      <c r="L606" s="428"/>
      <c r="M606" s="428"/>
      <c r="N606" s="428"/>
      <c r="O606" s="428"/>
      <c r="P606" s="428"/>
      <c r="Q606" s="428"/>
      <c r="S606" s="428"/>
      <c r="W606" s="428"/>
      <c r="X606" s="428"/>
    </row>
    <row r="607" spans="2:24" ht="12.75">
      <c r="B607" s="426"/>
      <c r="F607" s="428"/>
      <c r="G607" s="428"/>
      <c r="H607" s="428"/>
      <c r="I607" s="428"/>
      <c r="J607" s="428"/>
      <c r="K607" s="428"/>
      <c r="L607" s="428"/>
      <c r="M607" s="428"/>
      <c r="N607" s="428"/>
      <c r="O607" s="428"/>
      <c r="P607" s="428"/>
      <c r="Q607" s="428"/>
      <c r="S607" s="428"/>
      <c r="W607" s="428"/>
      <c r="X607" s="428"/>
    </row>
    <row r="608" spans="2:24" ht="12.75">
      <c r="B608" s="426"/>
      <c r="F608" s="428"/>
      <c r="G608" s="428"/>
      <c r="H608" s="428"/>
      <c r="I608" s="428"/>
      <c r="J608" s="428"/>
      <c r="K608" s="428"/>
      <c r="L608" s="428"/>
      <c r="M608" s="428"/>
      <c r="N608" s="428"/>
      <c r="O608" s="428"/>
      <c r="P608" s="428"/>
      <c r="Q608" s="428"/>
      <c r="S608" s="428"/>
      <c r="W608" s="428"/>
      <c r="X608" s="428"/>
    </row>
    <row r="609" spans="2:24" ht="12.75">
      <c r="B609" s="426"/>
      <c r="F609" s="428"/>
      <c r="G609" s="428"/>
      <c r="H609" s="428"/>
      <c r="I609" s="428"/>
      <c r="J609" s="428"/>
      <c r="K609" s="428"/>
      <c r="L609" s="428"/>
      <c r="M609" s="428"/>
      <c r="N609" s="428"/>
      <c r="O609" s="428"/>
      <c r="P609" s="428"/>
      <c r="Q609" s="428"/>
      <c r="S609" s="428"/>
      <c r="W609" s="428"/>
      <c r="X609" s="428"/>
    </row>
    <row r="610" spans="2:24" ht="12.75">
      <c r="B610" s="426"/>
      <c r="F610" s="428"/>
      <c r="G610" s="428"/>
      <c r="H610" s="428"/>
      <c r="I610" s="428"/>
      <c r="J610" s="428"/>
      <c r="K610" s="428"/>
      <c r="L610" s="428"/>
      <c r="M610" s="428"/>
      <c r="N610" s="428"/>
      <c r="O610" s="428"/>
      <c r="P610" s="428"/>
      <c r="Q610" s="428"/>
      <c r="S610" s="428"/>
      <c r="W610" s="428"/>
      <c r="X610" s="428"/>
    </row>
    <row r="611" spans="2:24" ht="12.75">
      <c r="B611" s="426"/>
      <c r="F611" s="428"/>
      <c r="G611" s="428"/>
      <c r="H611" s="428"/>
      <c r="I611" s="428"/>
      <c r="J611" s="428"/>
      <c r="K611" s="428"/>
      <c r="L611" s="428"/>
      <c r="M611" s="428"/>
      <c r="N611" s="428"/>
      <c r="O611" s="428"/>
      <c r="P611" s="428"/>
      <c r="Q611" s="428"/>
      <c r="S611" s="428"/>
      <c r="W611" s="428"/>
      <c r="X611" s="428"/>
    </row>
    <row r="612" spans="2:24" ht="12.75">
      <c r="B612" s="426"/>
      <c r="F612" s="428"/>
      <c r="G612" s="428"/>
      <c r="H612" s="428"/>
      <c r="I612" s="428"/>
      <c r="J612" s="428"/>
      <c r="K612" s="428"/>
      <c r="L612" s="428"/>
      <c r="M612" s="428"/>
      <c r="N612" s="428"/>
      <c r="O612" s="428"/>
      <c r="P612" s="428"/>
      <c r="Q612" s="428"/>
      <c r="S612" s="428"/>
      <c r="W612" s="428"/>
      <c r="X612" s="428"/>
    </row>
    <row r="613" spans="2:24" ht="12.75">
      <c r="B613" s="426"/>
      <c r="F613" s="428"/>
      <c r="G613" s="428"/>
      <c r="H613" s="428"/>
      <c r="I613" s="428"/>
      <c r="J613" s="428"/>
      <c r="K613" s="428"/>
      <c r="L613" s="428"/>
      <c r="M613" s="428"/>
      <c r="N613" s="428"/>
      <c r="O613" s="428"/>
      <c r="P613" s="428"/>
      <c r="Q613" s="428"/>
      <c r="S613" s="428"/>
      <c r="W613" s="428"/>
      <c r="X613" s="428"/>
    </row>
    <row r="614" spans="2:24" ht="12.75">
      <c r="B614" s="426"/>
      <c r="F614" s="428"/>
      <c r="G614" s="428"/>
      <c r="H614" s="428"/>
      <c r="I614" s="428"/>
      <c r="J614" s="428"/>
      <c r="K614" s="428"/>
      <c r="L614" s="428"/>
      <c r="M614" s="428"/>
      <c r="N614" s="428"/>
      <c r="O614" s="428"/>
      <c r="P614" s="428"/>
      <c r="Q614" s="428"/>
      <c r="S614" s="428"/>
      <c r="W614" s="428"/>
      <c r="X614" s="428"/>
    </row>
    <row r="615" spans="2:24" ht="12.75">
      <c r="B615" s="426"/>
      <c r="F615" s="428"/>
      <c r="G615" s="428"/>
      <c r="H615" s="428"/>
      <c r="I615" s="428"/>
      <c r="J615" s="428"/>
      <c r="K615" s="428"/>
      <c r="L615" s="428"/>
      <c r="M615" s="428"/>
      <c r="N615" s="428"/>
      <c r="O615" s="428"/>
      <c r="P615" s="428"/>
      <c r="Q615" s="428"/>
      <c r="S615" s="428"/>
      <c r="W615" s="428"/>
      <c r="X615" s="428"/>
    </row>
    <row r="616" spans="2:24" ht="12.75">
      <c r="B616" s="426"/>
      <c r="F616" s="428"/>
      <c r="G616" s="428"/>
      <c r="H616" s="428"/>
      <c r="I616" s="428"/>
      <c r="J616" s="428"/>
      <c r="K616" s="428"/>
      <c r="L616" s="428"/>
      <c r="M616" s="428"/>
      <c r="N616" s="428"/>
      <c r="O616" s="428"/>
      <c r="P616" s="428"/>
      <c r="Q616" s="428"/>
      <c r="S616" s="428"/>
      <c r="W616" s="428"/>
      <c r="X616" s="428"/>
    </row>
    <row r="617" spans="2:24" ht="12.75">
      <c r="B617" s="426"/>
      <c r="F617" s="428"/>
      <c r="G617" s="428"/>
      <c r="H617" s="428"/>
      <c r="I617" s="428"/>
      <c r="J617" s="428"/>
      <c r="K617" s="428"/>
      <c r="L617" s="428"/>
      <c r="M617" s="428"/>
      <c r="N617" s="428"/>
      <c r="O617" s="428"/>
      <c r="P617" s="428"/>
      <c r="Q617" s="428"/>
      <c r="S617" s="428"/>
      <c r="W617" s="428"/>
      <c r="X617" s="428"/>
    </row>
    <row r="618" spans="2:24" ht="12.75">
      <c r="B618" s="426"/>
      <c r="F618" s="428"/>
      <c r="G618" s="428"/>
      <c r="H618" s="428"/>
      <c r="I618" s="428"/>
      <c r="J618" s="428"/>
      <c r="K618" s="428"/>
      <c r="L618" s="428"/>
      <c r="M618" s="428"/>
      <c r="N618" s="428"/>
      <c r="O618" s="428"/>
      <c r="P618" s="428"/>
      <c r="Q618" s="428"/>
      <c r="S618" s="428"/>
      <c r="W618" s="428"/>
      <c r="X618" s="428"/>
    </row>
    <row r="619" spans="2:24" ht="12.75">
      <c r="B619" s="426"/>
      <c r="F619" s="428"/>
      <c r="G619" s="428"/>
      <c r="H619" s="428"/>
      <c r="I619" s="428"/>
      <c r="J619" s="428"/>
      <c r="K619" s="428"/>
      <c r="L619" s="428"/>
      <c r="M619" s="428"/>
      <c r="N619" s="428"/>
      <c r="O619" s="428"/>
      <c r="P619" s="428"/>
      <c r="Q619" s="428"/>
      <c r="S619" s="428"/>
      <c r="W619" s="428"/>
      <c r="X619" s="428"/>
    </row>
    <row r="620" spans="2:24" ht="12.75">
      <c r="B620" s="426"/>
      <c r="F620" s="428"/>
      <c r="G620" s="428"/>
      <c r="H620" s="428"/>
      <c r="I620" s="428"/>
      <c r="J620" s="428"/>
      <c r="K620" s="428"/>
      <c r="L620" s="428"/>
      <c r="M620" s="428"/>
      <c r="N620" s="428"/>
      <c r="O620" s="428"/>
      <c r="P620" s="428"/>
      <c r="Q620" s="428"/>
      <c r="S620" s="428"/>
      <c r="W620" s="428"/>
      <c r="X620" s="428"/>
    </row>
    <row r="621" spans="2:24" ht="12.75">
      <c r="B621" s="426"/>
      <c r="F621" s="428"/>
      <c r="G621" s="428"/>
      <c r="H621" s="428"/>
      <c r="I621" s="428"/>
      <c r="J621" s="428"/>
      <c r="K621" s="428"/>
      <c r="L621" s="428"/>
      <c r="M621" s="428"/>
      <c r="N621" s="428"/>
      <c r="O621" s="428"/>
      <c r="P621" s="428"/>
      <c r="Q621" s="428"/>
      <c r="S621" s="428"/>
      <c r="W621" s="428"/>
      <c r="X621" s="428"/>
    </row>
    <row r="622" spans="2:24" ht="12.75">
      <c r="B622" s="426"/>
      <c r="F622" s="428"/>
      <c r="G622" s="428"/>
      <c r="H622" s="428"/>
      <c r="I622" s="428"/>
      <c r="J622" s="428"/>
      <c r="K622" s="428"/>
      <c r="L622" s="428"/>
      <c r="M622" s="428"/>
      <c r="N622" s="428"/>
      <c r="O622" s="428"/>
      <c r="P622" s="428"/>
      <c r="Q622" s="428"/>
      <c r="S622" s="428"/>
      <c r="W622" s="428"/>
      <c r="X622" s="428"/>
    </row>
    <row r="623" spans="2:24" ht="12.75">
      <c r="B623" s="426"/>
      <c r="F623" s="428"/>
      <c r="G623" s="428"/>
      <c r="H623" s="428"/>
      <c r="I623" s="428"/>
      <c r="J623" s="428"/>
      <c r="K623" s="428"/>
      <c r="L623" s="428"/>
      <c r="M623" s="428"/>
      <c r="N623" s="428"/>
      <c r="O623" s="428"/>
      <c r="P623" s="428"/>
      <c r="Q623" s="428"/>
      <c r="S623" s="428"/>
      <c r="W623" s="428"/>
      <c r="X623" s="428"/>
    </row>
    <row r="624" spans="2:24" ht="12.75">
      <c r="B624" s="426"/>
      <c r="F624" s="428"/>
      <c r="G624" s="428"/>
      <c r="H624" s="428"/>
      <c r="I624" s="428"/>
      <c r="J624" s="428"/>
      <c r="K624" s="428"/>
      <c r="L624" s="428"/>
      <c r="M624" s="428"/>
      <c r="N624" s="428"/>
      <c r="O624" s="428"/>
      <c r="P624" s="428"/>
      <c r="Q624" s="428"/>
      <c r="S624" s="428"/>
      <c r="W624" s="428"/>
      <c r="X624" s="428"/>
    </row>
    <row r="625" spans="2:24" ht="12.75">
      <c r="B625" s="426"/>
      <c r="F625" s="428"/>
      <c r="G625" s="428"/>
      <c r="H625" s="428"/>
      <c r="I625" s="428"/>
      <c r="J625" s="428"/>
      <c r="K625" s="428"/>
      <c r="L625" s="428"/>
      <c r="M625" s="428"/>
      <c r="N625" s="428"/>
      <c r="O625" s="428"/>
      <c r="P625" s="428"/>
      <c r="Q625" s="428"/>
      <c r="S625" s="428"/>
      <c r="W625" s="428"/>
      <c r="X625" s="428"/>
    </row>
    <row r="626" spans="2:24" ht="12.75">
      <c r="B626" s="426"/>
      <c r="F626" s="428"/>
      <c r="G626" s="428"/>
      <c r="H626" s="428"/>
      <c r="I626" s="428"/>
      <c r="J626" s="428"/>
      <c r="K626" s="428"/>
      <c r="L626" s="428"/>
      <c r="M626" s="428"/>
      <c r="N626" s="428"/>
      <c r="O626" s="428"/>
      <c r="P626" s="428"/>
      <c r="Q626" s="428"/>
      <c r="S626" s="428"/>
      <c r="W626" s="428"/>
      <c r="X626" s="428"/>
    </row>
    <row r="627" spans="2:24" ht="12.75">
      <c r="B627" s="426"/>
      <c r="F627" s="428"/>
      <c r="G627" s="428"/>
      <c r="H627" s="428"/>
      <c r="I627" s="428"/>
      <c r="J627" s="428"/>
      <c r="K627" s="428"/>
      <c r="L627" s="428"/>
      <c r="M627" s="428"/>
      <c r="N627" s="428"/>
      <c r="O627" s="428"/>
      <c r="P627" s="428"/>
      <c r="Q627" s="428"/>
      <c r="S627" s="428"/>
      <c r="W627" s="428"/>
      <c r="X627" s="428"/>
    </row>
    <row r="628" spans="2:24" ht="12.75">
      <c r="B628" s="426"/>
      <c r="F628" s="428"/>
      <c r="G628" s="428"/>
      <c r="H628" s="428"/>
      <c r="I628" s="428"/>
      <c r="J628" s="428"/>
      <c r="K628" s="428"/>
      <c r="L628" s="428"/>
      <c r="M628" s="428"/>
      <c r="N628" s="428"/>
      <c r="O628" s="428"/>
      <c r="P628" s="428"/>
      <c r="Q628" s="428"/>
      <c r="S628" s="428"/>
      <c r="W628" s="428"/>
      <c r="X628" s="428"/>
    </row>
    <row r="629" spans="2:24" ht="12.75">
      <c r="B629" s="426"/>
      <c r="F629" s="428"/>
      <c r="G629" s="428"/>
      <c r="H629" s="428"/>
      <c r="I629" s="428"/>
      <c r="J629" s="428"/>
      <c r="K629" s="428"/>
      <c r="L629" s="428"/>
      <c r="M629" s="428"/>
      <c r="N629" s="428"/>
      <c r="O629" s="428"/>
      <c r="P629" s="428"/>
      <c r="Q629" s="428"/>
      <c r="S629" s="428"/>
      <c r="W629" s="428"/>
      <c r="X629" s="428"/>
    </row>
    <row r="630" spans="2:24" ht="12.75">
      <c r="B630" s="426"/>
      <c r="F630" s="428"/>
      <c r="G630" s="428"/>
      <c r="H630" s="428"/>
      <c r="I630" s="428"/>
      <c r="J630" s="428"/>
      <c r="K630" s="428"/>
      <c r="L630" s="428"/>
      <c r="M630" s="428"/>
      <c r="N630" s="428"/>
      <c r="O630" s="428"/>
      <c r="P630" s="428"/>
      <c r="Q630" s="428"/>
      <c r="S630" s="428"/>
      <c r="W630" s="428"/>
      <c r="X630" s="428"/>
    </row>
    <row r="631" spans="2:24" ht="12.75">
      <c r="B631" s="426"/>
      <c r="F631" s="428"/>
      <c r="G631" s="428"/>
      <c r="H631" s="428"/>
      <c r="I631" s="428"/>
      <c r="J631" s="428"/>
      <c r="K631" s="428"/>
      <c r="L631" s="428"/>
      <c r="M631" s="428"/>
      <c r="N631" s="428"/>
      <c r="O631" s="428"/>
      <c r="P631" s="428"/>
      <c r="Q631" s="428"/>
      <c r="S631" s="428"/>
      <c r="W631" s="428"/>
      <c r="X631" s="428"/>
    </row>
    <row r="632" spans="2:24" ht="12.75">
      <c r="B632" s="426"/>
      <c r="F632" s="428"/>
      <c r="G632" s="428"/>
      <c r="H632" s="428"/>
      <c r="I632" s="428"/>
      <c r="J632" s="428"/>
      <c r="K632" s="428"/>
      <c r="L632" s="428"/>
      <c r="M632" s="428"/>
      <c r="N632" s="428"/>
      <c r="O632" s="428"/>
      <c r="P632" s="428"/>
      <c r="Q632" s="428"/>
      <c r="S632" s="428"/>
      <c r="W632" s="428"/>
      <c r="X632" s="428"/>
    </row>
    <row r="633" spans="2:24" ht="12.75">
      <c r="B633" s="426"/>
      <c r="F633" s="428"/>
      <c r="G633" s="428"/>
      <c r="H633" s="428"/>
      <c r="I633" s="428"/>
      <c r="J633" s="428"/>
      <c r="K633" s="428"/>
      <c r="L633" s="428"/>
      <c r="M633" s="428"/>
      <c r="N633" s="428"/>
      <c r="O633" s="428"/>
      <c r="P633" s="428"/>
      <c r="Q633" s="428"/>
      <c r="S633" s="428"/>
      <c r="W633" s="428"/>
      <c r="X633" s="428"/>
    </row>
    <row r="634" spans="2:24" ht="12.75">
      <c r="B634" s="426"/>
      <c r="F634" s="428"/>
      <c r="G634" s="428"/>
      <c r="H634" s="428"/>
      <c r="I634" s="428"/>
      <c r="J634" s="428"/>
      <c r="K634" s="428"/>
      <c r="L634" s="428"/>
      <c r="M634" s="428"/>
      <c r="N634" s="428"/>
      <c r="O634" s="428"/>
      <c r="P634" s="428"/>
      <c r="Q634" s="428"/>
      <c r="S634" s="428"/>
      <c r="W634" s="428"/>
      <c r="X634" s="428"/>
    </row>
    <row r="635" spans="2:24" ht="12.75">
      <c r="B635" s="426"/>
      <c r="F635" s="428"/>
      <c r="G635" s="428"/>
      <c r="H635" s="428"/>
      <c r="I635" s="428"/>
      <c r="J635" s="428"/>
      <c r="K635" s="428"/>
      <c r="L635" s="428"/>
      <c r="M635" s="428"/>
      <c r="N635" s="428"/>
      <c r="O635" s="428"/>
      <c r="P635" s="428"/>
      <c r="Q635" s="428"/>
      <c r="S635" s="428"/>
      <c r="W635" s="428"/>
      <c r="X635" s="428"/>
    </row>
    <row r="636" spans="2:24" ht="12.75">
      <c r="B636" s="426"/>
      <c r="F636" s="428"/>
      <c r="G636" s="428"/>
      <c r="H636" s="428"/>
      <c r="I636" s="428"/>
      <c r="J636" s="428"/>
      <c r="K636" s="428"/>
      <c r="L636" s="428"/>
      <c r="M636" s="428"/>
      <c r="N636" s="428"/>
      <c r="O636" s="428"/>
      <c r="P636" s="428"/>
      <c r="Q636" s="428"/>
      <c r="S636" s="428"/>
      <c r="W636" s="428"/>
      <c r="X636" s="428"/>
    </row>
    <row r="637" spans="2:24" ht="12.75">
      <c r="B637" s="426"/>
      <c r="F637" s="428"/>
      <c r="G637" s="428"/>
      <c r="H637" s="428"/>
      <c r="I637" s="428"/>
      <c r="J637" s="428"/>
      <c r="K637" s="428"/>
      <c r="L637" s="428"/>
      <c r="M637" s="428"/>
      <c r="N637" s="428"/>
      <c r="O637" s="428"/>
      <c r="P637" s="428"/>
      <c r="Q637" s="428"/>
      <c r="S637" s="428"/>
      <c r="W637" s="428"/>
      <c r="X637" s="428"/>
    </row>
    <row r="638" spans="2:24" ht="12.75">
      <c r="B638" s="426"/>
      <c r="F638" s="428"/>
      <c r="G638" s="428"/>
      <c r="H638" s="428"/>
      <c r="I638" s="428"/>
      <c r="J638" s="428"/>
      <c r="K638" s="428"/>
      <c r="L638" s="428"/>
      <c r="M638" s="428"/>
      <c r="N638" s="428"/>
      <c r="O638" s="428"/>
      <c r="P638" s="428"/>
      <c r="Q638" s="428"/>
      <c r="S638" s="428"/>
      <c r="W638" s="428"/>
      <c r="X638" s="428"/>
    </row>
    <row r="639" spans="2:24" ht="12.75">
      <c r="B639" s="426"/>
      <c r="F639" s="428"/>
      <c r="G639" s="428"/>
      <c r="H639" s="428"/>
      <c r="I639" s="428"/>
      <c r="J639" s="428"/>
      <c r="K639" s="428"/>
      <c r="L639" s="428"/>
      <c r="M639" s="428"/>
      <c r="N639" s="428"/>
      <c r="O639" s="428"/>
      <c r="P639" s="428"/>
      <c r="Q639" s="428"/>
      <c r="S639" s="428"/>
      <c r="W639" s="428"/>
      <c r="X639" s="428"/>
    </row>
    <row r="640" spans="2:24" ht="12.75">
      <c r="B640" s="426"/>
      <c r="F640" s="428"/>
      <c r="G640" s="428"/>
      <c r="H640" s="428"/>
      <c r="I640" s="428"/>
      <c r="J640" s="428"/>
      <c r="K640" s="428"/>
      <c r="L640" s="428"/>
      <c r="M640" s="428"/>
      <c r="N640" s="428"/>
      <c r="O640" s="428"/>
      <c r="P640" s="428"/>
      <c r="Q640" s="428"/>
      <c r="S640" s="428"/>
      <c r="W640" s="428"/>
      <c r="X640" s="428"/>
    </row>
    <row r="641" spans="2:24" ht="12.75">
      <c r="B641" s="426"/>
      <c r="F641" s="428"/>
      <c r="G641" s="428"/>
      <c r="H641" s="428"/>
      <c r="I641" s="428"/>
      <c r="J641" s="428"/>
      <c r="K641" s="428"/>
      <c r="L641" s="428"/>
      <c r="M641" s="428"/>
      <c r="N641" s="428"/>
      <c r="O641" s="428"/>
      <c r="P641" s="428"/>
      <c r="Q641" s="428"/>
      <c r="S641" s="428"/>
      <c r="W641" s="428"/>
      <c r="X641" s="428"/>
    </row>
    <row r="642" spans="2:24" ht="12.75">
      <c r="B642" s="426"/>
      <c r="F642" s="428"/>
      <c r="G642" s="428"/>
      <c r="H642" s="428"/>
      <c r="I642" s="428"/>
      <c r="J642" s="428"/>
      <c r="K642" s="428"/>
      <c r="L642" s="428"/>
      <c r="M642" s="428"/>
      <c r="N642" s="428"/>
      <c r="O642" s="428"/>
      <c r="P642" s="428"/>
      <c r="Q642" s="428"/>
      <c r="S642" s="428"/>
      <c r="W642" s="428"/>
      <c r="X642" s="428"/>
    </row>
    <row r="643" spans="2:24" ht="12.75">
      <c r="B643" s="426"/>
      <c r="F643" s="428"/>
      <c r="G643" s="428"/>
      <c r="H643" s="428"/>
      <c r="I643" s="428"/>
      <c r="J643" s="428"/>
      <c r="K643" s="428"/>
      <c r="L643" s="428"/>
      <c r="M643" s="428"/>
      <c r="N643" s="428"/>
      <c r="O643" s="428"/>
      <c r="P643" s="428"/>
      <c r="Q643" s="428"/>
      <c r="S643" s="428"/>
      <c r="W643" s="428"/>
      <c r="X643" s="428"/>
    </row>
    <row r="644" spans="2:24" ht="12.75">
      <c r="B644" s="426"/>
      <c r="F644" s="428"/>
      <c r="G644" s="428"/>
      <c r="H644" s="428"/>
      <c r="I644" s="428"/>
      <c r="J644" s="428"/>
      <c r="K644" s="428"/>
      <c r="L644" s="428"/>
      <c r="M644" s="428"/>
      <c r="N644" s="428"/>
      <c r="O644" s="428"/>
      <c r="P644" s="428"/>
      <c r="Q644" s="428"/>
      <c r="S644" s="428"/>
      <c r="W644" s="428"/>
      <c r="X644" s="428"/>
    </row>
    <row r="645" spans="2:24" ht="12.75">
      <c r="B645" s="426"/>
      <c r="F645" s="428"/>
      <c r="G645" s="428"/>
      <c r="H645" s="428"/>
      <c r="I645" s="428"/>
      <c r="J645" s="428"/>
      <c r="K645" s="428"/>
      <c r="L645" s="428"/>
      <c r="M645" s="428"/>
      <c r="N645" s="428"/>
      <c r="O645" s="428"/>
      <c r="P645" s="428"/>
      <c r="Q645" s="428"/>
      <c r="S645" s="428"/>
      <c r="W645" s="428"/>
      <c r="X645" s="428"/>
    </row>
    <row r="646" spans="2:24" ht="12.75">
      <c r="B646" s="426"/>
      <c r="F646" s="428"/>
      <c r="G646" s="428"/>
      <c r="H646" s="428"/>
      <c r="I646" s="428"/>
      <c r="J646" s="428"/>
      <c r="K646" s="428"/>
      <c r="L646" s="428"/>
      <c r="M646" s="428"/>
      <c r="N646" s="428"/>
      <c r="O646" s="428"/>
      <c r="P646" s="428"/>
      <c r="Q646" s="428"/>
      <c r="S646" s="428"/>
      <c r="W646" s="428"/>
      <c r="X646" s="428"/>
    </row>
    <row r="647" spans="2:24" ht="12.75">
      <c r="B647" s="426"/>
      <c r="F647" s="428"/>
      <c r="G647" s="428"/>
      <c r="H647" s="428"/>
      <c r="I647" s="428"/>
      <c r="J647" s="428"/>
      <c r="K647" s="428"/>
      <c r="L647" s="428"/>
      <c r="M647" s="428"/>
      <c r="N647" s="428"/>
      <c r="O647" s="428"/>
      <c r="P647" s="428"/>
      <c r="Q647" s="428"/>
      <c r="S647" s="428"/>
      <c r="W647" s="428"/>
      <c r="X647" s="428"/>
    </row>
    <row r="648" spans="2:24" ht="12.75">
      <c r="B648" s="426"/>
      <c r="F648" s="428"/>
      <c r="G648" s="428"/>
      <c r="H648" s="428"/>
      <c r="I648" s="428"/>
      <c r="J648" s="428"/>
      <c r="K648" s="428"/>
      <c r="L648" s="428"/>
      <c r="M648" s="428"/>
      <c r="N648" s="428"/>
      <c r="O648" s="428"/>
      <c r="P648" s="428"/>
      <c r="Q648" s="428"/>
      <c r="S648" s="428"/>
      <c r="W648" s="428"/>
      <c r="X648" s="428"/>
    </row>
    <row r="649" spans="2:24" ht="12.75">
      <c r="B649" s="426"/>
      <c r="F649" s="428"/>
      <c r="G649" s="428"/>
      <c r="H649" s="428"/>
      <c r="I649" s="428"/>
      <c r="J649" s="428"/>
      <c r="K649" s="428"/>
      <c r="L649" s="428"/>
      <c r="M649" s="428"/>
      <c r="N649" s="428"/>
      <c r="O649" s="428"/>
      <c r="P649" s="428"/>
      <c r="Q649" s="428"/>
      <c r="S649" s="428"/>
      <c r="W649" s="428"/>
      <c r="X649" s="428"/>
    </row>
    <row r="650" spans="2:24" ht="12.75">
      <c r="B650" s="426"/>
      <c r="F650" s="428"/>
      <c r="G650" s="428"/>
      <c r="H650" s="428"/>
      <c r="I650" s="428"/>
      <c r="J650" s="428"/>
      <c r="K650" s="428"/>
      <c r="L650" s="428"/>
      <c r="M650" s="428"/>
      <c r="N650" s="428"/>
      <c r="O650" s="428"/>
      <c r="P650" s="428"/>
      <c r="Q650" s="428"/>
      <c r="S650" s="428"/>
      <c r="W650" s="428"/>
      <c r="X650" s="428"/>
    </row>
    <row r="651" spans="2:24" ht="12.75">
      <c r="B651" s="426"/>
      <c r="F651" s="428"/>
      <c r="G651" s="428"/>
      <c r="H651" s="428"/>
      <c r="I651" s="428"/>
      <c r="J651" s="428"/>
      <c r="K651" s="428"/>
      <c r="L651" s="428"/>
      <c r="M651" s="428"/>
      <c r="N651" s="428"/>
      <c r="O651" s="428"/>
      <c r="P651" s="428"/>
      <c r="Q651" s="428"/>
      <c r="S651" s="428"/>
      <c r="W651" s="428"/>
      <c r="X651" s="428"/>
    </row>
    <row r="652" spans="2:24" ht="12.75">
      <c r="B652" s="426"/>
      <c r="F652" s="428"/>
      <c r="G652" s="428"/>
      <c r="H652" s="428"/>
      <c r="I652" s="428"/>
      <c r="J652" s="428"/>
      <c r="K652" s="428"/>
      <c r="L652" s="428"/>
      <c r="M652" s="428"/>
      <c r="N652" s="428"/>
      <c r="O652" s="428"/>
      <c r="P652" s="428"/>
      <c r="Q652" s="428"/>
      <c r="S652" s="428"/>
      <c r="W652" s="428"/>
      <c r="X652" s="428"/>
    </row>
    <row r="653" spans="2:24" ht="12.75">
      <c r="B653" s="426"/>
      <c r="F653" s="428"/>
      <c r="G653" s="428"/>
      <c r="H653" s="428"/>
      <c r="I653" s="428"/>
      <c r="J653" s="428"/>
      <c r="K653" s="428"/>
      <c r="L653" s="428"/>
      <c r="M653" s="428"/>
      <c r="N653" s="428"/>
      <c r="O653" s="428"/>
      <c r="P653" s="428"/>
      <c r="Q653" s="428"/>
      <c r="S653" s="428"/>
      <c r="W653" s="428"/>
      <c r="X653" s="428"/>
    </row>
    <row r="654" spans="2:24" ht="12.75">
      <c r="B654" s="426"/>
      <c r="F654" s="428"/>
      <c r="G654" s="428"/>
      <c r="H654" s="428"/>
      <c r="I654" s="428"/>
      <c r="J654" s="428"/>
      <c r="K654" s="428"/>
      <c r="L654" s="428"/>
      <c r="M654" s="428"/>
      <c r="N654" s="428"/>
      <c r="O654" s="428"/>
      <c r="P654" s="428"/>
      <c r="Q654" s="428"/>
      <c r="S654" s="428"/>
      <c r="W654" s="428"/>
      <c r="X654" s="428"/>
    </row>
    <row r="655" spans="2:24" ht="12.75">
      <c r="B655" s="426"/>
      <c r="F655" s="428"/>
      <c r="G655" s="428"/>
      <c r="H655" s="428"/>
      <c r="I655" s="428"/>
      <c r="J655" s="428"/>
      <c r="K655" s="428"/>
      <c r="L655" s="428"/>
      <c r="M655" s="428"/>
      <c r="N655" s="428"/>
      <c r="O655" s="428"/>
      <c r="P655" s="428"/>
      <c r="Q655" s="428"/>
      <c r="S655" s="428"/>
      <c r="W655" s="428"/>
      <c r="X655" s="428"/>
    </row>
    <row r="656" spans="2:24" ht="12.75">
      <c r="B656" s="426"/>
      <c r="F656" s="428"/>
      <c r="G656" s="428"/>
      <c r="H656" s="428"/>
      <c r="I656" s="428"/>
      <c r="J656" s="428"/>
      <c r="K656" s="428"/>
      <c r="L656" s="428"/>
      <c r="M656" s="428"/>
      <c r="N656" s="428"/>
      <c r="O656" s="428"/>
      <c r="P656" s="428"/>
      <c r="Q656" s="428"/>
      <c r="S656" s="428"/>
      <c r="W656" s="428"/>
      <c r="X656" s="428"/>
    </row>
    <row r="657" spans="2:24" ht="12.75">
      <c r="B657" s="426"/>
      <c r="F657" s="428"/>
      <c r="G657" s="428"/>
      <c r="H657" s="428"/>
      <c r="I657" s="428"/>
      <c r="J657" s="428"/>
      <c r="K657" s="428"/>
      <c r="L657" s="428"/>
      <c r="M657" s="428"/>
      <c r="N657" s="428"/>
      <c r="O657" s="428"/>
      <c r="P657" s="428"/>
      <c r="Q657" s="428"/>
      <c r="S657" s="428"/>
      <c r="W657" s="428"/>
      <c r="X657" s="428"/>
    </row>
    <row r="658" spans="2:24" ht="12.75">
      <c r="B658" s="426"/>
      <c r="F658" s="428"/>
      <c r="G658" s="428"/>
      <c r="H658" s="428"/>
      <c r="I658" s="428"/>
      <c r="J658" s="428"/>
      <c r="K658" s="428"/>
      <c r="L658" s="428"/>
      <c r="M658" s="428"/>
      <c r="N658" s="428"/>
      <c r="O658" s="428"/>
      <c r="P658" s="428"/>
      <c r="Q658" s="428"/>
      <c r="S658" s="428"/>
      <c r="W658" s="428"/>
      <c r="X658" s="428"/>
    </row>
    <row r="659" spans="2:24" ht="12.75">
      <c r="B659" s="426"/>
      <c r="F659" s="428"/>
      <c r="G659" s="428"/>
      <c r="H659" s="428"/>
      <c r="I659" s="428"/>
      <c r="J659" s="428"/>
      <c r="K659" s="428"/>
      <c r="L659" s="428"/>
      <c r="M659" s="428"/>
      <c r="N659" s="428"/>
      <c r="O659" s="428"/>
      <c r="P659" s="428"/>
      <c r="Q659" s="428"/>
      <c r="S659" s="428"/>
      <c r="W659" s="428"/>
      <c r="X659" s="428"/>
    </row>
    <row r="660" spans="2:24" ht="12.75">
      <c r="B660" s="426"/>
      <c r="F660" s="428"/>
      <c r="G660" s="428"/>
      <c r="H660" s="428"/>
      <c r="I660" s="428"/>
      <c r="J660" s="428"/>
      <c r="K660" s="428"/>
      <c r="L660" s="428"/>
      <c r="M660" s="428"/>
      <c r="N660" s="428"/>
      <c r="O660" s="428"/>
      <c r="P660" s="428"/>
      <c r="Q660" s="428"/>
      <c r="S660" s="428"/>
      <c r="W660" s="428"/>
      <c r="X660" s="428"/>
    </row>
    <row r="661" spans="2:24" ht="12.75">
      <c r="B661" s="426"/>
      <c r="F661" s="428"/>
      <c r="G661" s="428"/>
      <c r="H661" s="428"/>
      <c r="I661" s="428"/>
      <c r="J661" s="428"/>
      <c r="K661" s="428"/>
      <c r="L661" s="428"/>
      <c r="M661" s="428"/>
      <c r="N661" s="428"/>
      <c r="O661" s="428"/>
      <c r="P661" s="428"/>
      <c r="Q661" s="428"/>
      <c r="S661" s="428"/>
      <c r="W661" s="428"/>
      <c r="X661" s="428"/>
    </row>
    <row r="662" spans="2:24" ht="12.75">
      <c r="B662" s="426"/>
      <c r="F662" s="428"/>
      <c r="G662" s="428"/>
      <c r="H662" s="428"/>
      <c r="I662" s="428"/>
      <c r="J662" s="428"/>
      <c r="K662" s="428"/>
      <c r="L662" s="428"/>
      <c r="M662" s="428"/>
      <c r="N662" s="428"/>
      <c r="O662" s="428"/>
      <c r="P662" s="428"/>
      <c r="Q662" s="428"/>
      <c r="S662" s="428"/>
      <c r="W662" s="428"/>
      <c r="X662" s="428"/>
    </row>
    <row r="663" spans="2:24" ht="12.75">
      <c r="B663" s="426"/>
      <c r="F663" s="428"/>
      <c r="G663" s="428"/>
      <c r="H663" s="428"/>
      <c r="I663" s="428"/>
      <c r="J663" s="428"/>
      <c r="K663" s="428"/>
      <c r="L663" s="428"/>
      <c r="M663" s="428"/>
      <c r="N663" s="428"/>
      <c r="O663" s="428"/>
      <c r="P663" s="428"/>
      <c r="Q663" s="428"/>
      <c r="S663" s="428"/>
      <c r="W663" s="428"/>
      <c r="X663" s="428"/>
    </row>
    <row r="664" spans="2:24" ht="12.75">
      <c r="B664" s="426"/>
      <c r="F664" s="428"/>
      <c r="G664" s="428"/>
      <c r="H664" s="428"/>
      <c r="I664" s="428"/>
      <c r="J664" s="428"/>
      <c r="K664" s="428"/>
      <c r="L664" s="428"/>
      <c r="M664" s="428"/>
      <c r="N664" s="428"/>
      <c r="O664" s="428"/>
      <c r="P664" s="428"/>
      <c r="Q664" s="428"/>
      <c r="S664" s="428"/>
      <c r="W664" s="428"/>
      <c r="X664" s="428"/>
    </row>
    <row r="665" spans="2:24" ht="12.75">
      <c r="B665" s="426"/>
      <c r="F665" s="428"/>
      <c r="G665" s="428"/>
      <c r="H665" s="428"/>
      <c r="I665" s="428"/>
      <c r="J665" s="428"/>
      <c r="K665" s="428"/>
      <c r="L665" s="428"/>
      <c r="M665" s="428"/>
      <c r="N665" s="428"/>
      <c r="O665" s="428"/>
      <c r="P665" s="428"/>
      <c r="Q665" s="428"/>
      <c r="S665" s="428"/>
      <c r="W665" s="428"/>
      <c r="X665" s="428"/>
    </row>
    <row r="666" spans="2:24" ht="12.75">
      <c r="B666" s="426"/>
      <c r="F666" s="428"/>
      <c r="G666" s="428"/>
      <c r="H666" s="428"/>
      <c r="I666" s="428"/>
      <c r="J666" s="428"/>
      <c r="K666" s="428"/>
      <c r="L666" s="428"/>
      <c r="M666" s="428"/>
      <c r="N666" s="428"/>
      <c r="O666" s="428"/>
      <c r="P666" s="428"/>
      <c r="Q666" s="428"/>
      <c r="S666" s="428"/>
      <c r="W666" s="428"/>
      <c r="X666" s="428"/>
    </row>
    <row r="667" spans="2:24" ht="12.75">
      <c r="B667" s="426"/>
      <c r="F667" s="428"/>
      <c r="G667" s="428"/>
      <c r="H667" s="428"/>
      <c r="I667" s="428"/>
      <c r="J667" s="428"/>
      <c r="K667" s="428"/>
      <c r="L667" s="428"/>
      <c r="M667" s="428"/>
      <c r="N667" s="428"/>
      <c r="O667" s="428"/>
      <c r="P667" s="428"/>
      <c r="Q667" s="428"/>
      <c r="S667" s="428"/>
      <c r="W667" s="428"/>
      <c r="X667" s="428"/>
    </row>
    <row r="668" spans="2:24" ht="12.75">
      <c r="B668" s="426"/>
      <c r="F668" s="428"/>
      <c r="G668" s="428"/>
      <c r="H668" s="428"/>
      <c r="I668" s="428"/>
      <c r="J668" s="428"/>
      <c r="K668" s="428"/>
      <c r="L668" s="428"/>
      <c r="M668" s="428"/>
      <c r="N668" s="428"/>
      <c r="O668" s="428"/>
      <c r="P668" s="428"/>
      <c r="Q668" s="428"/>
      <c r="S668" s="428"/>
      <c r="W668" s="428"/>
      <c r="X668" s="428"/>
    </row>
    <row r="669" spans="2:24" ht="12.75">
      <c r="B669" s="426"/>
      <c r="F669" s="428"/>
      <c r="G669" s="428"/>
      <c r="H669" s="428"/>
      <c r="I669" s="428"/>
      <c r="J669" s="428"/>
      <c r="K669" s="428"/>
      <c r="L669" s="428"/>
      <c r="M669" s="428"/>
      <c r="N669" s="428"/>
      <c r="O669" s="428"/>
      <c r="P669" s="428"/>
      <c r="Q669" s="428"/>
      <c r="S669" s="428"/>
      <c r="W669" s="428"/>
      <c r="X669" s="428"/>
    </row>
    <row r="670" spans="2:24" ht="12.75">
      <c r="B670" s="426"/>
      <c r="F670" s="428"/>
      <c r="G670" s="428"/>
      <c r="H670" s="428"/>
      <c r="I670" s="428"/>
      <c r="J670" s="428"/>
      <c r="K670" s="428"/>
      <c r="L670" s="428"/>
      <c r="M670" s="428"/>
      <c r="N670" s="428"/>
      <c r="O670" s="428"/>
      <c r="P670" s="428"/>
      <c r="Q670" s="428"/>
      <c r="S670" s="428"/>
      <c r="W670" s="428"/>
      <c r="X670" s="428"/>
    </row>
    <row r="671" spans="2:24" ht="12.75">
      <c r="B671" s="426"/>
      <c r="F671" s="428"/>
      <c r="G671" s="428"/>
      <c r="H671" s="428"/>
      <c r="I671" s="428"/>
      <c r="J671" s="428"/>
      <c r="K671" s="428"/>
      <c r="L671" s="428"/>
      <c r="M671" s="428"/>
      <c r="N671" s="428"/>
      <c r="O671" s="428"/>
      <c r="P671" s="428"/>
      <c r="Q671" s="428"/>
      <c r="S671" s="428"/>
      <c r="W671" s="428"/>
      <c r="X671" s="428"/>
    </row>
    <row r="672" spans="2:24" ht="12.75">
      <c r="B672" s="426"/>
      <c r="F672" s="428"/>
      <c r="G672" s="428"/>
      <c r="H672" s="428"/>
      <c r="I672" s="428"/>
      <c r="J672" s="428"/>
      <c r="K672" s="428"/>
      <c r="L672" s="428"/>
      <c r="M672" s="428"/>
      <c r="N672" s="428"/>
      <c r="O672" s="428"/>
      <c r="P672" s="428"/>
      <c r="Q672" s="428"/>
      <c r="S672" s="428"/>
      <c r="W672" s="428"/>
      <c r="X672" s="428"/>
    </row>
    <row r="673" spans="2:24" ht="12.75">
      <c r="B673" s="426"/>
      <c r="F673" s="428"/>
      <c r="G673" s="428"/>
      <c r="H673" s="428"/>
      <c r="I673" s="428"/>
      <c r="J673" s="428"/>
      <c r="K673" s="428"/>
      <c r="L673" s="428"/>
      <c r="M673" s="428"/>
      <c r="N673" s="428"/>
      <c r="O673" s="428"/>
      <c r="P673" s="428"/>
      <c r="Q673" s="428"/>
      <c r="S673" s="428"/>
      <c r="W673" s="428"/>
      <c r="X673" s="428"/>
    </row>
    <row r="674" spans="2:24" ht="12.75">
      <c r="B674" s="426"/>
      <c r="F674" s="428"/>
      <c r="G674" s="428"/>
      <c r="H674" s="428"/>
      <c r="I674" s="428"/>
      <c r="J674" s="428"/>
      <c r="K674" s="428"/>
      <c r="L674" s="428"/>
      <c r="M674" s="428"/>
      <c r="N674" s="428"/>
      <c r="O674" s="428"/>
      <c r="P674" s="428"/>
      <c r="Q674" s="428"/>
      <c r="S674" s="428"/>
      <c r="W674" s="428"/>
      <c r="X674" s="428"/>
    </row>
    <row r="675" spans="2:24" ht="12.75">
      <c r="B675" s="426"/>
      <c r="F675" s="428"/>
      <c r="G675" s="428"/>
      <c r="H675" s="428"/>
      <c r="I675" s="428"/>
      <c r="J675" s="428"/>
      <c r="K675" s="428"/>
      <c r="L675" s="428"/>
      <c r="M675" s="428"/>
      <c r="N675" s="428"/>
      <c r="O675" s="428"/>
      <c r="P675" s="428"/>
      <c r="Q675" s="428"/>
      <c r="S675" s="428"/>
      <c r="W675" s="428"/>
      <c r="X675" s="428"/>
    </row>
    <row r="676" spans="2:24" ht="12.75">
      <c r="B676" s="426"/>
      <c r="F676" s="428"/>
      <c r="G676" s="428"/>
      <c r="H676" s="428"/>
      <c r="I676" s="428"/>
      <c r="J676" s="428"/>
      <c r="K676" s="428"/>
      <c r="L676" s="428"/>
      <c r="M676" s="428"/>
      <c r="N676" s="428"/>
      <c r="O676" s="428"/>
      <c r="P676" s="428"/>
      <c r="Q676" s="428"/>
      <c r="S676" s="428"/>
      <c r="W676" s="428"/>
      <c r="X676" s="428"/>
    </row>
    <row r="677" spans="2:24" ht="12.75">
      <c r="B677" s="426"/>
      <c r="F677" s="428"/>
      <c r="G677" s="428"/>
      <c r="H677" s="428"/>
      <c r="I677" s="428"/>
      <c r="J677" s="428"/>
      <c r="K677" s="428"/>
      <c r="L677" s="428"/>
      <c r="M677" s="428"/>
      <c r="N677" s="428"/>
      <c r="O677" s="428"/>
      <c r="P677" s="428"/>
      <c r="Q677" s="428"/>
      <c r="S677" s="428"/>
      <c r="W677" s="428"/>
      <c r="X677" s="428"/>
    </row>
    <row r="678" spans="2:24" ht="12.75">
      <c r="B678" s="426"/>
      <c r="F678" s="428"/>
      <c r="G678" s="428"/>
      <c r="H678" s="428"/>
      <c r="I678" s="428"/>
      <c r="J678" s="428"/>
      <c r="K678" s="428"/>
      <c r="L678" s="428"/>
      <c r="M678" s="428"/>
      <c r="N678" s="428"/>
      <c r="O678" s="428"/>
      <c r="P678" s="428"/>
      <c r="Q678" s="428"/>
      <c r="S678" s="428"/>
      <c r="W678" s="428"/>
      <c r="X678" s="428"/>
    </row>
    <row r="679" spans="2:24" ht="12.75">
      <c r="B679" s="426"/>
      <c r="F679" s="428"/>
      <c r="G679" s="428"/>
      <c r="H679" s="428"/>
      <c r="I679" s="428"/>
      <c r="J679" s="428"/>
      <c r="K679" s="428"/>
      <c r="L679" s="428"/>
      <c r="M679" s="428"/>
      <c r="N679" s="428"/>
      <c r="O679" s="428"/>
      <c r="P679" s="428"/>
      <c r="Q679" s="428"/>
      <c r="S679" s="428"/>
      <c r="W679" s="428"/>
      <c r="X679" s="428"/>
    </row>
    <row r="680" spans="2:24" ht="12.75">
      <c r="B680" s="426"/>
      <c r="F680" s="428"/>
      <c r="G680" s="428"/>
      <c r="H680" s="428"/>
      <c r="I680" s="428"/>
      <c r="J680" s="428"/>
      <c r="K680" s="428"/>
      <c r="L680" s="428"/>
      <c r="M680" s="428"/>
      <c r="N680" s="428"/>
      <c r="O680" s="428"/>
      <c r="P680" s="428"/>
      <c r="Q680" s="428"/>
      <c r="S680" s="428"/>
      <c r="W680" s="428"/>
      <c r="X680" s="428"/>
    </row>
    <row r="681" spans="2:24" ht="12.75">
      <c r="B681" s="426"/>
      <c r="F681" s="428"/>
      <c r="G681" s="428"/>
      <c r="H681" s="428"/>
      <c r="I681" s="428"/>
      <c r="J681" s="428"/>
      <c r="K681" s="428"/>
      <c r="L681" s="428"/>
      <c r="M681" s="428"/>
      <c r="N681" s="428"/>
      <c r="O681" s="428"/>
      <c r="P681" s="428"/>
      <c r="Q681" s="428"/>
      <c r="S681" s="428"/>
      <c r="W681" s="428"/>
      <c r="X681" s="428"/>
    </row>
    <row r="682" spans="2:24" ht="12.75">
      <c r="B682" s="426"/>
      <c r="F682" s="428"/>
      <c r="G682" s="428"/>
      <c r="H682" s="428"/>
      <c r="I682" s="428"/>
      <c r="J682" s="428"/>
      <c r="K682" s="428"/>
      <c r="L682" s="428"/>
      <c r="M682" s="428"/>
      <c r="N682" s="428"/>
      <c r="O682" s="428"/>
      <c r="P682" s="428"/>
      <c r="Q682" s="428"/>
      <c r="S682" s="428"/>
      <c r="W682" s="428"/>
      <c r="X682" s="428"/>
    </row>
    <row r="683" spans="2:24" ht="12.75">
      <c r="B683" s="426"/>
      <c r="F683" s="428"/>
      <c r="G683" s="428"/>
      <c r="H683" s="428"/>
      <c r="I683" s="428"/>
      <c r="J683" s="428"/>
      <c r="K683" s="428"/>
      <c r="L683" s="428"/>
      <c r="M683" s="428"/>
      <c r="N683" s="428"/>
      <c r="O683" s="428"/>
      <c r="P683" s="428"/>
      <c r="Q683" s="428"/>
      <c r="S683" s="428"/>
      <c r="W683" s="428"/>
      <c r="X683" s="428"/>
    </row>
    <row r="684" spans="2:24" ht="12.75">
      <c r="B684" s="426"/>
      <c r="F684" s="428"/>
      <c r="G684" s="428"/>
      <c r="H684" s="428"/>
      <c r="I684" s="428"/>
      <c r="J684" s="428"/>
      <c r="K684" s="428"/>
      <c r="L684" s="428"/>
      <c r="M684" s="428"/>
      <c r="N684" s="428"/>
      <c r="O684" s="428"/>
      <c r="P684" s="428"/>
      <c r="Q684" s="428"/>
      <c r="S684" s="428"/>
      <c r="W684" s="428"/>
      <c r="X684" s="428"/>
    </row>
    <row r="685" spans="2:24" ht="12.75">
      <c r="B685" s="426"/>
      <c r="F685" s="428"/>
      <c r="G685" s="428"/>
      <c r="H685" s="428"/>
      <c r="I685" s="428"/>
      <c r="J685" s="428"/>
      <c r="K685" s="428"/>
      <c r="L685" s="428"/>
      <c r="M685" s="428"/>
      <c r="N685" s="428"/>
      <c r="O685" s="428"/>
      <c r="P685" s="428"/>
      <c r="Q685" s="428"/>
      <c r="S685" s="428"/>
      <c r="W685" s="428"/>
      <c r="X685" s="428"/>
    </row>
    <row r="686" spans="2:24" ht="12.75">
      <c r="B686" s="426"/>
      <c r="F686" s="428"/>
      <c r="G686" s="428"/>
      <c r="H686" s="428"/>
      <c r="I686" s="428"/>
      <c r="J686" s="428"/>
      <c r="K686" s="428"/>
      <c r="L686" s="428"/>
      <c r="M686" s="428"/>
      <c r="N686" s="428"/>
      <c r="O686" s="428"/>
      <c r="P686" s="428"/>
      <c r="Q686" s="428"/>
      <c r="S686" s="428"/>
      <c r="W686" s="428"/>
      <c r="X686" s="428"/>
    </row>
    <row r="687" spans="2:24" ht="12.75">
      <c r="B687" s="426"/>
      <c r="F687" s="428"/>
      <c r="G687" s="428"/>
      <c r="H687" s="428"/>
      <c r="I687" s="428"/>
      <c r="J687" s="428"/>
      <c r="K687" s="428"/>
      <c r="L687" s="428"/>
      <c r="M687" s="428"/>
      <c r="N687" s="428"/>
      <c r="O687" s="428"/>
      <c r="P687" s="428"/>
      <c r="Q687" s="428"/>
      <c r="S687" s="428"/>
      <c r="W687" s="428"/>
      <c r="X687" s="428"/>
    </row>
    <row r="688" spans="2:24" ht="12.75">
      <c r="B688" s="426"/>
      <c r="F688" s="428"/>
      <c r="G688" s="428"/>
      <c r="H688" s="428"/>
      <c r="I688" s="428"/>
      <c r="J688" s="428"/>
      <c r="K688" s="428"/>
      <c r="L688" s="428"/>
      <c r="M688" s="428"/>
      <c r="N688" s="428"/>
      <c r="O688" s="428"/>
      <c r="P688" s="428"/>
      <c r="Q688" s="428"/>
      <c r="S688" s="428"/>
      <c r="W688" s="428"/>
      <c r="X688" s="428"/>
    </row>
    <row r="689" spans="2:24" ht="12.75">
      <c r="B689" s="426"/>
      <c r="F689" s="428"/>
      <c r="G689" s="428"/>
      <c r="H689" s="428"/>
      <c r="I689" s="428"/>
      <c r="J689" s="428"/>
      <c r="K689" s="428"/>
      <c r="L689" s="428"/>
      <c r="M689" s="428"/>
      <c r="N689" s="428"/>
      <c r="O689" s="428"/>
      <c r="P689" s="428"/>
      <c r="Q689" s="428"/>
      <c r="S689" s="428"/>
      <c r="W689" s="428"/>
      <c r="X689" s="428"/>
    </row>
    <row r="690" spans="2:24" ht="12.75">
      <c r="B690" s="426"/>
      <c r="F690" s="428"/>
      <c r="G690" s="428"/>
      <c r="H690" s="428"/>
      <c r="I690" s="428"/>
      <c r="J690" s="428"/>
      <c r="K690" s="428"/>
      <c r="L690" s="428"/>
      <c r="M690" s="428"/>
      <c r="N690" s="428"/>
      <c r="O690" s="428"/>
      <c r="P690" s="428"/>
      <c r="Q690" s="428"/>
      <c r="S690" s="428"/>
      <c r="W690" s="428"/>
      <c r="X690" s="428"/>
    </row>
    <row r="691" spans="2:24" ht="12.75">
      <c r="B691" s="426"/>
      <c r="F691" s="428"/>
      <c r="G691" s="428"/>
      <c r="H691" s="428"/>
      <c r="I691" s="428"/>
      <c r="J691" s="428"/>
      <c r="K691" s="428"/>
      <c r="L691" s="428"/>
      <c r="M691" s="428"/>
      <c r="N691" s="428"/>
      <c r="O691" s="428"/>
      <c r="P691" s="428"/>
      <c r="Q691" s="428"/>
      <c r="S691" s="428"/>
      <c r="W691" s="428"/>
      <c r="X691" s="428"/>
    </row>
    <row r="692" spans="2:24" ht="12.75">
      <c r="B692" s="426"/>
      <c r="F692" s="428"/>
      <c r="G692" s="428"/>
      <c r="H692" s="428"/>
      <c r="I692" s="428"/>
      <c r="J692" s="428"/>
      <c r="K692" s="428"/>
      <c r="L692" s="428"/>
      <c r="M692" s="428"/>
      <c r="N692" s="428"/>
      <c r="O692" s="428"/>
      <c r="P692" s="428"/>
      <c r="Q692" s="428"/>
      <c r="S692" s="428"/>
      <c r="W692" s="428"/>
      <c r="X692" s="428"/>
    </row>
    <row r="693" spans="2:24" ht="12.75">
      <c r="B693" s="426"/>
      <c r="F693" s="428"/>
      <c r="G693" s="428"/>
      <c r="H693" s="428"/>
      <c r="I693" s="428"/>
      <c r="J693" s="428"/>
      <c r="K693" s="428"/>
      <c r="L693" s="428"/>
      <c r="M693" s="428"/>
      <c r="N693" s="428"/>
      <c r="O693" s="428"/>
      <c r="P693" s="428"/>
      <c r="Q693" s="428"/>
      <c r="S693" s="428"/>
      <c r="W693" s="428"/>
      <c r="X693" s="428"/>
    </row>
    <row r="694" spans="2:24" ht="12.75">
      <c r="B694" s="426"/>
      <c r="F694" s="428"/>
      <c r="G694" s="428"/>
      <c r="H694" s="428"/>
      <c r="I694" s="428"/>
      <c r="J694" s="428"/>
      <c r="K694" s="428"/>
      <c r="L694" s="428"/>
      <c r="M694" s="428"/>
      <c r="N694" s="428"/>
      <c r="O694" s="428"/>
      <c r="P694" s="428"/>
      <c r="Q694" s="428"/>
      <c r="S694" s="428"/>
      <c r="W694" s="428"/>
      <c r="X694" s="428"/>
    </row>
    <row r="695" spans="2:24" ht="12.75">
      <c r="B695" s="426"/>
      <c r="F695" s="428"/>
      <c r="G695" s="428"/>
      <c r="H695" s="428"/>
      <c r="I695" s="428"/>
      <c r="J695" s="428"/>
      <c r="K695" s="428"/>
      <c r="L695" s="428"/>
      <c r="M695" s="428"/>
      <c r="N695" s="428"/>
      <c r="O695" s="428"/>
      <c r="P695" s="428"/>
      <c r="Q695" s="428"/>
      <c r="S695" s="428"/>
      <c r="W695" s="428"/>
      <c r="X695" s="428"/>
    </row>
    <row r="696" spans="2:24" ht="12.75">
      <c r="B696" s="426"/>
      <c r="F696" s="428"/>
      <c r="G696" s="428"/>
      <c r="H696" s="428"/>
      <c r="I696" s="428"/>
      <c r="J696" s="428"/>
      <c r="K696" s="428"/>
      <c r="L696" s="428"/>
      <c r="M696" s="428"/>
      <c r="N696" s="428"/>
      <c r="O696" s="428"/>
      <c r="P696" s="428"/>
      <c r="Q696" s="428"/>
      <c r="S696" s="428"/>
      <c r="W696" s="428"/>
      <c r="X696" s="428"/>
    </row>
    <row r="697" spans="2:24" ht="12.75">
      <c r="B697" s="426"/>
      <c r="F697" s="428"/>
      <c r="G697" s="428"/>
      <c r="H697" s="428"/>
      <c r="I697" s="428"/>
      <c r="J697" s="428"/>
      <c r="K697" s="428"/>
      <c r="L697" s="428"/>
      <c r="M697" s="428"/>
      <c r="N697" s="428"/>
      <c r="O697" s="428"/>
      <c r="P697" s="428"/>
      <c r="Q697" s="428"/>
      <c r="S697" s="428"/>
      <c r="W697" s="428"/>
      <c r="X697" s="428"/>
    </row>
    <row r="698" spans="2:24" ht="12.75">
      <c r="B698" s="426"/>
      <c r="F698" s="428"/>
      <c r="G698" s="428"/>
      <c r="H698" s="428"/>
      <c r="I698" s="428"/>
      <c r="J698" s="428"/>
      <c r="K698" s="428"/>
      <c r="L698" s="428"/>
      <c r="M698" s="428"/>
      <c r="N698" s="428"/>
      <c r="O698" s="428"/>
      <c r="P698" s="428"/>
      <c r="Q698" s="428"/>
      <c r="S698" s="428"/>
      <c r="W698" s="428"/>
      <c r="X698" s="428"/>
    </row>
    <row r="699" spans="2:24" ht="12.75">
      <c r="B699" s="426"/>
      <c r="F699" s="428"/>
      <c r="G699" s="428"/>
      <c r="H699" s="428"/>
      <c r="I699" s="428"/>
      <c r="J699" s="428"/>
      <c r="K699" s="428"/>
      <c r="L699" s="428"/>
      <c r="M699" s="428"/>
      <c r="N699" s="428"/>
      <c r="O699" s="428"/>
      <c r="P699" s="428"/>
      <c r="Q699" s="428"/>
      <c r="S699" s="428"/>
      <c r="W699" s="428"/>
      <c r="X699" s="428"/>
    </row>
    <row r="700" spans="2:24" ht="12.75">
      <c r="B700" s="426"/>
      <c r="F700" s="428"/>
      <c r="G700" s="428"/>
      <c r="H700" s="428"/>
      <c r="I700" s="428"/>
      <c r="J700" s="428"/>
      <c r="K700" s="428"/>
      <c r="L700" s="428"/>
      <c r="M700" s="428"/>
      <c r="N700" s="428"/>
      <c r="O700" s="428"/>
      <c r="P700" s="428"/>
      <c r="Q700" s="428"/>
      <c r="S700" s="428"/>
      <c r="W700" s="428"/>
      <c r="X700" s="428"/>
    </row>
    <row r="701" spans="2:24" ht="12.75">
      <c r="B701" s="426"/>
      <c r="F701" s="428"/>
      <c r="G701" s="428"/>
      <c r="H701" s="428"/>
      <c r="I701" s="428"/>
      <c r="J701" s="428"/>
      <c r="K701" s="428"/>
      <c r="L701" s="428"/>
      <c r="M701" s="428"/>
      <c r="N701" s="428"/>
      <c r="O701" s="428"/>
      <c r="P701" s="428"/>
      <c r="Q701" s="428"/>
      <c r="S701" s="428"/>
      <c r="W701" s="428"/>
      <c r="X701" s="428"/>
    </row>
    <row r="702" spans="2:24" ht="12.75">
      <c r="B702" s="426"/>
      <c r="F702" s="428"/>
      <c r="G702" s="428"/>
      <c r="H702" s="428"/>
      <c r="I702" s="428"/>
      <c r="J702" s="428"/>
      <c r="K702" s="428"/>
      <c r="L702" s="428"/>
      <c r="M702" s="428"/>
      <c r="N702" s="428"/>
      <c r="O702" s="428"/>
      <c r="P702" s="428"/>
      <c r="Q702" s="428"/>
      <c r="S702" s="428"/>
      <c r="W702" s="428"/>
      <c r="X702" s="428"/>
    </row>
    <row r="703" spans="2:24" ht="12.75">
      <c r="B703" s="426"/>
      <c r="F703" s="428"/>
      <c r="G703" s="428"/>
      <c r="H703" s="428"/>
      <c r="I703" s="428"/>
      <c r="J703" s="428"/>
      <c r="K703" s="428"/>
      <c r="L703" s="428"/>
      <c r="M703" s="428"/>
      <c r="N703" s="428"/>
      <c r="O703" s="428"/>
      <c r="P703" s="428"/>
      <c r="Q703" s="428"/>
      <c r="S703" s="428"/>
      <c r="W703" s="428"/>
      <c r="X703" s="428"/>
    </row>
    <row r="704" spans="2:24" ht="12.75">
      <c r="B704" s="426"/>
      <c r="F704" s="428"/>
      <c r="G704" s="428"/>
      <c r="H704" s="428"/>
      <c r="I704" s="428"/>
      <c r="J704" s="428"/>
      <c r="K704" s="428"/>
      <c r="L704" s="428"/>
      <c r="M704" s="428"/>
      <c r="N704" s="428"/>
      <c r="O704" s="428"/>
      <c r="P704" s="428"/>
      <c r="Q704" s="428"/>
      <c r="S704" s="428"/>
      <c r="W704" s="428"/>
      <c r="X704" s="428"/>
    </row>
    <row r="705" spans="2:24" ht="12.75">
      <c r="B705" s="426"/>
      <c r="F705" s="428"/>
      <c r="G705" s="428"/>
      <c r="H705" s="428"/>
      <c r="I705" s="428"/>
      <c r="J705" s="428"/>
      <c r="K705" s="428"/>
      <c r="L705" s="428"/>
      <c r="M705" s="428"/>
      <c r="N705" s="428"/>
      <c r="O705" s="428"/>
      <c r="P705" s="428"/>
      <c r="Q705" s="428"/>
      <c r="S705" s="428"/>
      <c r="W705" s="428"/>
      <c r="X705" s="428"/>
    </row>
    <row r="706" spans="2:24" ht="12.75">
      <c r="B706" s="426"/>
      <c r="F706" s="428"/>
      <c r="G706" s="428"/>
      <c r="H706" s="428"/>
      <c r="I706" s="428"/>
      <c r="J706" s="428"/>
      <c r="K706" s="428"/>
      <c r="L706" s="428"/>
      <c r="M706" s="428"/>
      <c r="N706" s="428"/>
      <c r="O706" s="428"/>
      <c r="P706" s="428"/>
      <c r="Q706" s="428"/>
      <c r="S706" s="428"/>
      <c r="W706" s="428"/>
      <c r="X706" s="428"/>
    </row>
    <row r="707" spans="2:24" ht="12.75">
      <c r="B707" s="426"/>
      <c r="F707" s="428"/>
      <c r="G707" s="428"/>
      <c r="H707" s="428"/>
      <c r="I707" s="428"/>
      <c r="J707" s="428"/>
      <c r="K707" s="428"/>
      <c r="L707" s="428"/>
      <c r="M707" s="428"/>
      <c r="N707" s="428"/>
      <c r="O707" s="428"/>
      <c r="P707" s="428"/>
      <c r="Q707" s="428"/>
      <c r="S707" s="428"/>
      <c r="W707" s="428"/>
      <c r="X707" s="428"/>
    </row>
    <row r="708" spans="2:24" ht="12.75">
      <c r="B708" s="426"/>
      <c r="F708" s="428"/>
      <c r="G708" s="428"/>
      <c r="H708" s="428"/>
      <c r="I708" s="428"/>
      <c r="J708" s="428"/>
      <c r="K708" s="428"/>
      <c r="L708" s="428"/>
      <c r="M708" s="428"/>
      <c r="N708" s="428"/>
      <c r="O708" s="428"/>
      <c r="P708" s="428"/>
      <c r="Q708" s="428"/>
      <c r="S708" s="428"/>
      <c r="W708" s="428"/>
      <c r="X708" s="428"/>
    </row>
    <row r="709" spans="2:24" ht="12.75">
      <c r="B709" s="426"/>
      <c r="F709" s="428"/>
      <c r="G709" s="428"/>
      <c r="H709" s="428"/>
      <c r="I709" s="428"/>
      <c r="J709" s="428"/>
      <c r="K709" s="428"/>
      <c r="L709" s="428"/>
      <c r="M709" s="428"/>
      <c r="N709" s="428"/>
      <c r="O709" s="428"/>
      <c r="P709" s="428"/>
      <c r="Q709" s="428"/>
      <c r="S709" s="428"/>
      <c r="W709" s="428"/>
      <c r="X709" s="428"/>
    </row>
    <row r="710" spans="2:24" ht="12.75">
      <c r="B710" s="426"/>
      <c r="F710" s="428"/>
      <c r="G710" s="428"/>
      <c r="H710" s="428"/>
      <c r="I710" s="428"/>
      <c r="J710" s="428"/>
      <c r="K710" s="428"/>
      <c r="L710" s="428"/>
      <c r="M710" s="428"/>
      <c r="N710" s="428"/>
      <c r="O710" s="428"/>
      <c r="P710" s="428"/>
      <c r="Q710" s="428"/>
      <c r="S710" s="428"/>
      <c r="W710" s="428"/>
      <c r="X710" s="428"/>
    </row>
    <row r="711" spans="2:24" ht="12.75">
      <c r="B711" s="426"/>
      <c r="F711" s="428"/>
      <c r="G711" s="428"/>
      <c r="H711" s="428"/>
      <c r="I711" s="428"/>
      <c r="J711" s="428"/>
      <c r="K711" s="428"/>
      <c r="L711" s="428"/>
      <c r="M711" s="428"/>
      <c r="N711" s="428"/>
      <c r="O711" s="428"/>
      <c r="P711" s="428"/>
      <c r="Q711" s="428"/>
      <c r="S711" s="428"/>
      <c r="W711" s="428"/>
      <c r="X711" s="428"/>
    </row>
    <row r="712" spans="2:24" ht="12.75">
      <c r="B712" s="426"/>
      <c r="F712" s="428"/>
      <c r="G712" s="428"/>
      <c r="H712" s="428"/>
      <c r="I712" s="428"/>
      <c r="J712" s="428"/>
      <c r="K712" s="428"/>
      <c r="L712" s="428"/>
      <c r="M712" s="428"/>
      <c r="N712" s="428"/>
      <c r="O712" s="428"/>
      <c r="P712" s="428"/>
      <c r="Q712" s="428"/>
      <c r="S712" s="428"/>
      <c r="W712" s="428"/>
      <c r="X712" s="428"/>
    </row>
    <row r="713" spans="2:24" ht="12.75">
      <c r="B713" s="426"/>
      <c r="F713" s="428"/>
      <c r="G713" s="428"/>
      <c r="H713" s="428"/>
      <c r="I713" s="428"/>
      <c r="J713" s="428"/>
      <c r="K713" s="428"/>
      <c r="L713" s="428"/>
      <c r="M713" s="428"/>
      <c r="N713" s="428"/>
      <c r="O713" s="428"/>
      <c r="P713" s="428"/>
      <c r="Q713" s="428"/>
      <c r="S713" s="428"/>
      <c r="W713" s="428"/>
      <c r="X713" s="428"/>
    </row>
    <row r="714" spans="2:24" ht="12.75">
      <c r="B714" s="426"/>
      <c r="F714" s="428"/>
      <c r="G714" s="428"/>
      <c r="H714" s="428"/>
      <c r="I714" s="428"/>
      <c r="J714" s="428"/>
      <c r="K714" s="428"/>
      <c r="L714" s="428"/>
      <c r="M714" s="428"/>
      <c r="N714" s="428"/>
      <c r="O714" s="428"/>
      <c r="P714" s="428"/>
      <c r="Q714" s="428"/>
      <c r="S714" s="428"/>
      <c r="W714" s="428"/>
      <c r="X714" s="428"/>
    </row>
    <row r="715" spans="2:24" ht="12.75">
      <c r="B715" s="426"/>
      <c r="F715" s="428"/>
      <c r="G715" s="428"/>
      <c r="H715" s="428"/>
      <c r="I715" s="428"/>
      <c r="J715" s="428"/>
      <c r="K715" s="428"/>
      <c r="L715" s="428"/>
      <c r="M715" s="428"/>
      <c r="N715" s="428"/>
      <c r="O715" s="428"/>
      <c r="P715" s="428"/>
      <c r="Q715" s="428"/>
      <c r="S715" s="428"/>
      <c r="W715" s="428"/>
      <c r="X715" s="428"/>
    </row>
    <row r="716" spans="2:24" ht="12.75">
      <c r="B716" s="426"/>
      <c r="F716" s="428"/>
      <c r="G716" s="428"/>
      <c r="H716" s="428"/>
      <c r="I716" s="428"/>
      <c r="J716" s="428"/>
      <c r="K716" s="428"/>
      <c r="L716" s="428"/>
      <c r="M716" s="428"/>
      <c r="N716" s="428"/>
      <c r="O716" s="428"/>
      <c r="P716" s="428"/>
      <c r="Q716" s="428"/>
      <c r="S716" s="428"/>
      <c r="W716" s="428"/>
      <c r="X716" s="428"/>
    </row>
    <row r="717" spans="2:24" ht="12.75">
      <c r="B717" s="426"/>
      <c r="F717" s="428"/>
      <c r="G717" s="428"/>
      <c r="H717" s="428"/>
      <c r="I717" s="428"/>
      <c r="J717" s="428"/>
      <c r="K717" s="428"/>
      <c r="L717" s="428"/>
      <c r="M717" s="428"/>
      <c r="N717" s="428"/>
      <c r="O717" s="428"/>
      <c r="P717" s="428"/>
      <c r="Q717" s="428"/>
      <c r="S717" s="428"/>
      <c r="W717" s="428"/>
      <c r="X717" s="428"/>
    </row>
    <row r="718" spans="2:24" ht="12.75">
      <c r="B718" s="426"/>
      <c r="F718" s="428"/>
      <c r="G718" s="428"/>
      <c r="H718" s="428"/>
      <c r="I718" s="428"/>
      <c r="J718" s="428"/>
      <c r="K718" s="428"/>
      <c r="L718" s="428"/>
      <c r="M718" s="428"/>
      <c r="N718" s="428"/>
      <c r="O718" s="428"/>
      <c r="P718" s="428"/>
      <c r="Q718" s="428"/>
      <c r="S718" s="428"/>
      <c r="W718" s="428"/>
      <c r="X718" s="428"/>
    </row>
    <row r="719" spans="2:24" ht="12.75">
      <c r="B719" s="426"/>
      <c r="F719" s="428"/>
      <c r="G719" s="428"/>
      <c r="H719" s="428"/>
      <c r="I719" s="428"/>
      <c r="J719" s="428"/>
      <c r="K719" s="428"/>
      <c r="L719" s="428"/>
      <c r="M719" s="428"/>
      <c r="N719" s="428"/>
      <c r="O719" s="428"/>
      <c r="P719" s="428"/>
      <c r="Q719" s="428"/>
      <c r="S719" s="428"/>
      <c r="W719" s="428"/>
      <c r="X719" s="428"/>
    </row>
    <row r="720" spans="2:24" ht="12.75">
      <c r="B720" s="426"/>
      <c r="F720" s="428"/>
      <c r="G720" s="428"/>
      <c r="H720" s="428"/>
      <c r="I720" s="428"/>
      <c r="J720" s="428"/>
      <c r="K720" s="428"/>
      <c r="L720" s="428"/>
      <c r="M720" s="428"/>
      <c r="N720" s="428"/>
      <c r="O720" s="428"/>
      <c r="P720" s="428"/>
      <c r="Q720" s="428"/>
      <c r="S720" s="428"/>
      <c r="W720" s="428"/>
      <c r="X720" s="428"/>
    </row>
    <row r="721" spans="2:24" ht="12.75">
      <c r="B721" s="426"/>
      <c r="F721" s="428"/>
      <c r="G721" s="428"/>
      <c r="H721" s="428"/>
      <c r="I721" s="428"/>
      <c r="J721" s="428"/>
      <c r="K721" s="428"/>
      <c r="L721" s="428"/>
      <c r="M721" s="428"/>
      <c r="N721" s="428"/>
      <c r="O721" s="428"/>
      <c r="P721" s="428"/>
      <c r="Q721" s="428"/>
      <c r="S721" s="428"/>
      <c r="W721" s="428"/>
      <c r="X721" s="428"/>
    </row>
    <row r="722" spans="2:24" ht="12.75">
      <c r="B722" s="426"/>
      <c r="F722" s="428"/>
      <c r="G722" s="428"/>
      <c r="H722" s="428"/>
      <c r="I722" s="428"/>
      <c r="J722" s="428"/>
      <c r="K722" s="428"/>
      <c r="L722" s="428"/>
      <c r="M722" s="428"/>
      <c r="N722" s="428"/>
      <c r="O722" s="428"/>
      <c r="P722" s="428"/>
      <c r="Q722" s="428"/>
      <c r="S722" s="428"/>
      <c r="W722" s="428"/>
      <c r="X722" s="428"/>
    </row>
    <row r="723" spans="2:24" ht="12.75">
      <c r="B723" s="426"/>
      <c r="F723" s="428"/>
      <c r="G723" s="428"/>
      <c r="H723" s="428"/>
      <c r="I723" s="428"/>
      <c r="J723" s="428"/>
      <c r="K723" s="428"/>
      <c r="L723" s="428"/>
      <c r="M723" s="428"/>
      <c r="N723" s="428"/>
      <c r="O723" s="428"/>
      <c r="P723" s="428"/>
      <c r="Q723" s="428"/>
      <c r="S723" s="428"/>
      <c r="W723" s="428"/>
      <c r="X723" s="428"/>
    </row>
    <row r="724" spans="2:24" ht="12.75">
      <c r="B724" s="426"/>
      <c r="F724" s="428"/>
      <c r="G724" s="428"/>
      <c r="H724" s="428"/>
      <c r="I724" s="428"/>
      <c r="J724" s="428"/>
      <c r="K724" s="428"/>
      <c r="L724" s="428"/>
      <c r="M724" s="428"/>
      <c r="N724" s="428"/>
      <c r="O724" s="428"/>
      <c r="P724" s="428"/>
      <c r="Q724" s="428"/>
      <c r="S724" s="428"/>
      <c r="W724" s="428"/>
      <c r="X724" s="428"/>
    </row>
    <row r="725" spans="2:24" ht="12.75">
      <c r="B725" s="426"/>
      <c r="F725" s="428"/>
      <c r="G725" s="428"/>
      <c r="H725" s="428"/>
      <c r="I725" s="428"/>
      <c r="J725" s="428"/>
      <c r="K725" s="428"/>
      <c r="L725" s="428"/>
      <c r="M725" s="428"/>
      <c r="N725" s="428"/>
      <c r="O725" s="428"/>
      <c r="P725" s="428"/>
      <c r="Q725" s="428"/>
      <c r="S725" s="428"/>
      <c r="W725" s="428"/>
      <c r="X725" s="428"/>
    </row>
    <row r="726" spans="2:24" ht="12.75">
      <c r="B726" s="426"/>
      <c r="F726" s="428"/>
      <c r="G726" s="428"/>
      <c r="H726" s="428"/>
      <c r="I726" s="428"/>
      <c r="J726" s="428"/>
      <c r="K726" s="428"/>
      <c r="L726" s="428"/>
      <c r="M726" s="428"/>
      <c r="N726" s="428"/>
      <c r="O726" s="428"/>
      <c r="P726" s="428"/>
      <c r="Q726" s="428"/>
      <c r="S726" s="428"/>
      <c r="W726" s="428"/>
      <c r="X726" s="428"/>
    </row>
    <row r="727" spans="2:24" ht="12.75">
      <c r="B727" s="426"/>
      <c r="F727" s="428"/>
      <c r="G727" s="428"/>
      <c r="H727" s="428"/>
      <c r="I727" s="428"/>
      <c r="J727" s="428"/>
      <c r="K727" s="428"/>
      <c r="L727" s="428"/>
      <c r="M727" s="428"/>
      <c r="N727" s="428"/>
      <c r="O727" s="428"/>
      <c r="P727" s="428"/>
      <c r="Q727" s="428"/>
      <c r="S727" s="428"/>
      <c r="W727" s="428"/>
      <c r="X727" s="428"/>
    </row>
    <row r="728" spans="2:24" ht="12.75">
      <c r="B728" s="426"/>
      <c r="F728" s="428"/>
      <c r="G728" s="428"/>
      <c r="H728" s="428"/>
      <c r="I728" s="428"/>
      <c r="J728" s="428"/>
      <c r="K728" s="428"/>
      <c r="L728" s="428"/>
      <c r="M728" s="428"/>
      <c r="N728" s="428"/>
      <c r="O728" s="428"/>
      <c r="P728" s="428"/>
      <c r="Q728" s="428"/>
      <c r="S728" s="428"/>
      <c r="W728" s="428"/>
      <c r="X728" s="428"/>
    </row>
    <row r="729" spans="2:24" ht="12.75">
      <c r="B729" s="426"/>
      <c r="F729" s="428"/>
      <c r="G729" s="428"/>
      <c r="H729" s="428"/>
      <c r="I729" s="428"/>
      <c r="J729" s="428"/>
      <c r="K729" s="428"/>
      <c r="L729" s="428"/>
      <c r="M729" s="428"/>
      <c r="N729" s="428"/>
      <c r="O729" s="428"/>
      <c r="P729" s="428"/>
      <c r="Q729" s="428"/>
      <c r="S729" s="428"/>
      <c r="W729" s="428"/>
      <c r="X729" s="428"/>
    </row>
    <row r="730" spans="2:24" ht="12.75">
      <c r="B730" s="426"/>
      <c r="F730" s="428"/>
      <c r="G730" s="428"/>
      <c r="H730" s="428"/>
      <c r="I730" s="428"/>
      <c r="J730" s="428"/>
      <c r="K730" s="428"/>
      <c r="L730" s="428"/>
      <c r="M730" s="428"/>
      <c r="N730" s="428"/>
      <c r="O730" s="428"/>
      <c r="P730" s="428"/>
      <c r="Q730" s="428"/>
      <c r="S730" s="428"/>
      <c r="W730" s="428"/>
      <c r="X730" s="428"/>
    </row>
    <row r="731" spans="2:24" ht="12.75">
      <c r="B731" s="426"/>
      <c r="F731" s="428"/>
      <c r="G731" s="428"/>
      <c r="H731" s="428"/>
      <c r="I731" s="428"/>
      <c r="J731" s="428"/>
      <c r="K731" s="428"/>
      <c r="L731" s="428"/>
      <c r="M731" s="428"/>
      <c r="N731" s="428"/>
      <c r="O731" s="428"/>
      <c r="P731" s="428"/>
      <c r="Q731" s="428"/>
      <c r="S731" s="428"/>
      <c r="W731" s="428"/>
      <c r="X731" s="428"/>
    </row>
    <row r="732" spans="2:24" ht="12.75">
      <c r="B732" s="426"/>
      <c r="F732" s="428"/>
      <c r="G732" s="428"/>
      <c r="H732" s="428"/>
      <c r="I732" s="428"/>
      <c r="J732" s="428"/>
      <c r="K732" s="428"/>
      <c r="L732" s="428"/>
      <c r="M732" s="428"/>
      <c r="N732" s="428"/>
      <c r="O732" s="428"/>
      <c r="P732" s="428"/>
      <c r="Q732" s="428"/>
      <c r="S732" s="428"/>
      <c r="W732" s="428"/>
      <c r="X732" s="428"/>
    </row>
    <row r="733" spans="2:24" ht="12.75">
      <c r="B733" s="426"/>
      <c r="F733" s="428"/>
      <c r="G733" s="428"/>
      <c r="H733" s="428"/>
      <c r="I733" s="428"/>
      <c r="J733" s="428"/>
      <c r="K733" s="428"/>
      <c r="L733" s="428"/>
      <c r="M733" s="428"/>
      <c r="N733" s="428"/>
      <c r="O733" s="428"/>
      <c r="P733" s="428"/>
      <c r="Q733" s="428"/>
      <c r="S733" s="428"/>
      <c r="W733" s="428"/>
      <c r="X733" s="428"/>
    </row>
    <row r="734" spans="2:24" ht="12.75">
      <c r="B734" s="426"/>
      <c r="F734" s="428"/>
      <c r="G734" s="428"/>
      <c r="H734" s="428"/>
      <c r="I734" s="428"/>
      <c r="J734" s="428"/>
      <c r="K734" s="428"/>
      <c r="L734" s="428"/>
      <c r="M734" s="428"/>
      <c r="N734" s="428"/>
      <c r="O734" s="428"/>
      <c r="P734" s="428"/>
      <c r="Q734" s="428"/>
      <c r="S734" s="428"/>
      <c r="W734" s="428"/>
      <c r="X734" s="428"/>
    </row>
    <row r="735" spans="2:24" ht="12.75">
      <c r="B735" s="426"/>
      <c r="F735" s="428"/>
      <c r="G735" s="428"/>
      <c r="H735" s="428"/>
      <c r="I735" s="428"/>
      <c r="J735" s="428"/>
      <c r="K735" s="428"/>
      <c r="L735" s="428"/>
      <c r="M735" s="428"/>
      <c r="N735" s="428"/>
      <c r="O735" s="428"/>
      <c r="P735" s="428"/>
      <c r="Q735" s="428"/>
      <c r="S735" s="428"/>
      <c r="W735" s="428"/>
      <c r="X735" s="428"/>
    </row>
    <row r="736" spans="2:24" ht="12.75">
      <c r="B736" s="426"/>
      <c r="F736" s="428"/>
      <c r="G736" s="428"/>
      <c r="H736" s="428"/>
      <c r="I736" s="428"/>
      <c r="J736" s="428"/>
      <c r="K736" s="428"/>
      <c r="L736" s="428"/>
      <c r="M736" s="428"/>
      <c r="N736" s="428"/>
      <c r="O736" s="428"/>
      <c r="P736" s="428"/>
      <c r="Q736" s="428"/>
      <c r="S736" s="428"/>
      <c r="W736" s="428"/>
      <c r="X736" s="428"/>
    </row>
    <row r="737" spans="2:24" ht="12.75">
      <c r="B737" s="426"/>
      <c r="F737" s="428"/>
      <c r="G737" s="428"/>
      <c r="H737" s="428"/>
      <c r="I737" s="428"/>
      <c r="J737" s="428"/>
      <c r="K737" s="428"/>
      <c r="L737" s="428"/>
      <c r="M737" s="428"/>
      <c r="N737" s="428"/>
      <c r="O737" s="428"/>
      <c r="P737" s="428"/>
      <c r="Q737" s="428"/>
      <c r="S737" s="428"/>
      <c r="W737" s="428"/>
      <c r="X737" s="428"/>
    </row>
    <row r="738" spans="2:24" ht="12.75">
      <c r="B738" s="426"/>
      <c r="F738" s="428"/>
      <c r="G738" s="428"/>
      <c r="H738" s="428"/>
      <c r="I738" s="428"/>
      <c r="J738" s="428"/>
      <c r="K738" s="428"/>
      <c r="L738" s="428"/>
      <c r="M738" s="428"/>
      <c r="N738" s="428"/>
      <c r="O738" s="428"/>
      <c r="P738" s="428"/>
      <c r="Q738" s="428"/>
      <c r="S738" s="428"/>
      <c r="W738" s="428"/>
      <c r="X738" s="428"/>
    </row>
    <row r="739" spans="2:24" ht="12.75">
      <c r="B739" s="426"/>
      <c r="F739" s="428"/>
      <c r="G739" s="428"/>
      <c r="H739" s="428"/>
      <c r="I739" s="428"/>
      <c r="J739" s="428"/>
      <c r="K739" s="428"/>
      <c r="L739" s="428"/>
      <c r="M739" s="428"/>
      <c r="N739" s="428"/>
      <c r="O739" s="428"/>
      <c r="P739" s="428"/>
      <c r="Q739" s="428"/>
      <c r="S739" s="428"/>
      <c r="W739" s="428"/>
      <c r="X739" s="428"/>
    </row>
    <row r="740" spans="2:24" ht="12.75">
      <c r="B740" s="426"/>
      <c r="F740" s="428"/>
      <c r="G740" s="428"/>
      <c r="H740" s="428"/>
      <c r="I740" s="428"/>
      <c r="J740" s="428"/>
      <c r="K740" s="428"/>
      <c r="L740" s="428"/>
      <c r="M740" s="428"/>
      <c r="N740" s="428"/>
      <c r="O740" s="428"/>
      <c r="P740" s="428"/>
      <c r="Q740" s="428"/>
      <c r="S740" s="428"/>
      <c r="W740" s="428"/>
      <c r="X740" s="428"/>
    </row>
    <row r="741" spans="2:24" ht="12.75">
      <c r="B741" s="426"/>
      <c r="F741" s="428"/>
      <c r="G741" s="428"/>
      <c r="H741" s="428"/>
      <c r="I741" s="428"/>
      <c r="J741" s="428"/>
      <c r="K741" s="428"/>
      <c r="L741" s="428"/>
      <c r="M741" s="428"/>
      <c r="N741" s="428"/>
      <c r="O741" s="428"/>
      <c r="P741" s="428"/>
      <c r="Q741" s="428"/>
      <c r="S741" s="428"/>
      <c r="W741" s="428"/>
      <c r="X741" s="428"/>
    </row>
    <row r="742" spans="2:24" ht="12.75">
      <c r="B742" s="426"/>
      <c r="F742" s="428"/>
      <c r="G742" s="428"/>
      <c r="H742" s="428"/>
      <c r="I742" s="428"/>
      <c r="J742" s="428"/>
      <c r="K742" s="428"/>
      <c r="L742" s="428"/>
      <c r="M742" s="428"/>
      <c r="N742" s="428"/>
      <c r="O742" s="428"/>
      <c r="P742" s="428"/>
      <c r="Q742" s="428"/>
      <c r="S742" s="428"/>
      <c r="W742" s="428"/>
      <c r="X742" s="428"/>
    </row>
    <row r="743" spans="2:24" ht="12.75">
      <c r="B743" s="426"/>
      <c r="F743" s="428"/>
      <c r="G743" s="428"/>
      <c r="H743" s="428"/>
      <c r="I743" s="428"/>
      <c r="J743" s="428"/>
      <c r="K743" s="428"/>
      <c r="L743" s="428"/>
      <c r="M743" s="428"/>
      <c r="N743" s="428"/>
      <c r="O743" s="428"/>
      <c r="P743" s="428"/>
      <c r="Q743" s="428"/>
      <c r="S743" s="428"/>
      <c r="W743" s="428"/>
      <c r="X743" s="428"/>
    </row>
    <row r="744" spans="2:24" ht="12.75">
      <c r="B744" s="426"/>
      <c r="F744" s="428"/>
      <c r="G744" s="428"/>
      <c r="H744" s="428"/>
      <c r="I744" s="428"/>
      <c r="J744" s="428"/>
      <c r="K744" s="428"/>
      <c r="L744" s="428"/>
      <c r="M744" s="428"/>
      <c r="N744" s="428"/>
      <c r="O744" s="428"/>
      <c r="P744" s="428"/>
      <c r="Q744" s="428"/>
      <c r="S744" s="428"/>
      <c r="W744" s="428"/>
      <c r="X744" s="428"/>
    </row>
    <row r="745" spans="2:24" ht="12.75">
      <c r="B745" s="426"/>
      <c r="F745" s="428"/>
      <c r="G745" s="428"/>
      <c r="H745" s="428"/>
      <c r="I745" s="428"/>
      <c r="J745" s="428"/>
      <c r="K745" s="428"/>
      <c r="L745" s="428"/>
      <c r="M745" s="428"/>
      <c r="N745" s="428"/>
      <c r="O745" s="428"/>
      <c r="P745" s="428"/>
      <c r="Q745" s="428"/>
      <c r="S745" s="428"/>
      <c r="W745" s="428"/>
      <c r="X745" s="428"/>
    </row>
    <row r="746" spans="2:24" ht="12.75">
      <c r="B746" s="426"/>
      <c r="F746" s="428"/>
      <c r="G746" s="428"/>
      <c r="H746" s="428"/>
      <c r="I746" s="428"/>
      <c r="J746" s="428"/>
      <c r="K746" s="428"/>
      <c r="L746" s="428"/>
      <c r="M746" s="428"/>
      <c r="N746" s="428"/>
      <c r="O746" s="428"/>
      <c r="P746" s="428"/>
      <c r="Q746" s="428"/>
      <c r="S746" s="428"/>
      <c r="W746" s="428"/>
      <c r="X746" s="428"/>
    </row>
    <row r="747" spans="2:24" ht="12.75">
      <c r="B747" s="426"/>
      <c r="F747" s="428"/>
      <c r="G747" s="428"/>
      <c r="H747" s="428"/>
      <c r="I747" s="428"/>
      <c r="J747" s="428"/>
      <c r="K747" s="428"/>
      <c r="L747" s="428"/>
      <c r="M747" s="428"/>
      <c r="N747" s="428"/>
      <c r="O747" s="428"/>
      <c r="P747" s="428"/>
      <c r="Q747" s="428"/>
      <c r="S747" s="428"/>
      <c r="W747" s="428"/>
      <c r="X747" s="428"/>
    </row>
    <row r="748" spans="2:24" ht="12.75">
      <c r="B748" s="426"/>
      <c r="F748" s="428"/>
      <c r="G748" s="428"/>
      <c r="H748" s="428"/>
      <c r="I748" s="428"/>
      <c r="J748" s="428"/>
      <c r="K748" s="428"/>
      <c r="L748" s="428"/>
      <c r="M748" s="428"/>
      <c r="N748" s="428"/>
      <c r="O748" s="428"/>
      <c r="P748" s="428"/>
      <c r="Q748" s="428"/>
      <c r="S748" s="428"/>
      <c r="W748" s="428"/>
      <c r="X748" s="428"/>
    </row>
    <row r="749" spans="2:24" ht="12.75">
      <c r="B749" s="426"/>
      <c r="F749" s="428"/>
      <c r="G749" s="428"/>
      <c r="H749" s="428"/>
      <c r="I749" s="428"/>
      <c r="J749" s="428"/>
      <c r="K749" s="428"/>
      <c r="L749" s="428"/>
      <c r="M749" s="428"/>
      <c r="N749" s="428"/>
      <c r="O749" s="428"/>
      <c r="P749" s="428"/>
      <c r="Q749" s="428"/>
      <c r="S749" s="428"/>
      <c r="W749" s="428"/>
      <c r="X749" s="428"/>
    </row>
    <row r="750" spans="2:24" ht="12.75">
      <c r="B750" s="426"/>
      <c r="F750" s="428"/>
      <c r="G750" s="428"/>
      <c r="H750" s="428"/>
      <c r="I750" s="428"/>
      <c r="J750" s="428"/>
      <c r="K750" s="428"/>
      <c r="L750" s="428"/>
      <c r="M750" s="428"/>
      <c r="N750" s="428"/>
      <c r="O750" s="428"/>
      <c r="P750" s="428"/>
      <c r="Q750" s="428"/>
      <c r="S750" s="428"/>
      <c r="W750" s="428"/>
      <c r="X750" s="428"/>
    </row>
    <row r="751" spans="2:24" ht="12.75">
      <c r="B751" s="426"/>
      <c r="F751" s="428"/>
      <c r="G751" s="428"/>
      <c r="H751" s="428"/>
      <c r="I751" s="428"/>
      <c r="J751" s="428"/>
      <c r="K751" s="428"/>
      <c r="L751" s="428"/>
      <c r="M751" s="428"/>
      <c r="N751" s="428"/>
      <c r="O751" s="428"/>
      <c r="P751" s="428"/>
      <c r="Q751" s="428"/>
      <c r="S751" s="428"/>
      <c r="W751" s="428"/>
      <c r="X751" s="428"/>
    </row>
    <row r="752" spans="2:24" ht="12.75">
      <c r="B752" s="426"/>
      <c r="F752" s="428"/>
      <c r="G752" s="428"/>
      <c r="H752" s="428"/>
      <c r="I752" s="428"/>
      <c r="J752" s="428"/>
      <c r="K752" s="428"/>
      <c r="L752" s="428"/>
      <c r="M752" s="428"/>
      <c r="N752" s="428"/>
      <c r="O752" s="428"/>
      <c r="P752" s="428"/>
      <c r="Q752" s="428"/>
      <c r="S752" s="428"/>
      <c r="W752" s="428"/>
      <c r="X752" s="428"/>
    </row>
    <row r="753" spans="2:24" ht="12.75">
      <c r="B753" s="426"/>
      <c r="F753" s="428"/>
      <c r="G753" s="428"/>
      <c r="H753" s="428"/>
      <c r="I753" s="428"/>
      <c r="J753" s="428"/>
      <c r="K753" s="428"/>
      <c r="L753" s="428"/>
      <c r="M753" s="428"/>
      <c r="N753" s="428"/>
      <c r="O753" s="428"/>
      <c r="P753" s="428"/>
      <c r="Q753" s="428"/>
      <c r="S753" s="428"/>
      <c r="W753" s="428"/>
      <c r="X753" s="428"/>
    </row>
    <row r="754" spans="2:24" ht="12.75">
      <c r="B754" s="426"/>
      <c r="F754" s="428"/>
      <c r="G754" s="428"/>
      <c r="H754" s="428"/>
      <c r="I754" s="428"/>
      <c r="J754" s="428"/>
      <c r="K754" s="428"/>
      <c r="L754" s="428"/>
      <c r="M754" s="428"/>
      <c r="N754" s="428"/>
      <c r="O754" s="428"/>
      <c r="P754" s="428"/>
      <c r="Q754" s="428"/>
      <c r="S754" s="428"/>
      <c r="W754" s="428"/>
      <c r="X754" s="428"/>
    </row>
    <row r="755" spans="2:24" ht="12.75">
      <c r="B755" s="426"/>
      <c r="F755" s="428"/>
      <c r="G755" s="428"/>
      <c r="H755" s="428"/>
      <c r="I755" s="428"/>
      <c r="J755" s="428"/>
      <c r="K755" s="428"/>
      <c r="L755" s="428"/>
      <c r="M755" s="428"/>
      <c r="N755" s="428"/>
      <c r="O755" s="428"/>
      <c r="P755" s="428"/>
      <c r="Q755" s="428"/>
      <c r="S755" s="428"/>
      <c r="W755" s="428"/>
      <c r="X755" s="428"/>
    </row>
    <row r="756" spans="2:24" ht="12.75">
      <c r="B756" s="426"/>
      <c r="F756" s="428"/>
      <c r="G756" s="428"/>
      <c r="H756" s="428"/>
      <c r="I756" s="428"/>
      <c r="J756" s="428"/>
      <c r="K756" s="428"/>
      <c r="L756" s="428"/>
      <c r="M756" s="428"/>
      <c r="N756" s="428"/>
      <c r="O756" s="428"/>
      <c r="P756" s="428"/>
      <c r="Q756" s="428"/>
      <c r="S756" s="428"/>
      <c r="W756" s="428"/>
      <c r="X756" s="428"/>
    </row>
    <row r="757" spans="2:24" ht="12.75">
      <c r="B757" s="426"/>
      <c r="F757" s="428"/>
      <c r="G757" s="428"/>
      <c r="H757" s="428"/>
      <c r="I757" s="428"/>
      <c r="J757" s="428"/>
      <c r="K757" s="428"/>
      <c r="L757" s="428"/>
      <c r="M757" s="428"/>
      <c r="N757" s="428"/>
      <c r="O757" s="428"/>
      <c r="P757" s="428"/>
      <c r="Q757" s="428"/>
      <c r="S757" s="428"/>
      <c r="W757" s="428"/>
      <c r="X757" s="428"/>
    </row>
    <row r="758" spans="2:24" ht="12.75">
      <c r="B758" s="426"/>
      <c r="F758" s="428"/>
      <c r="G758" s="428"/>
      <c r="H758" s="428"/>
      <c r="I758" s="428"/>
      <c r="J758" s="428"/>
      <c r="K758" s="428"/>
      <c r="L758" s="428"/>
      <c r="M758" s="428"/>
      <c r="N758" s="428"/>
      <c r="O758" s="428"/>
      <c r="P758" s="428"/>
      <c r="Q758" s="428"/>
      <c r="S758" s="428"/>
      <c r="W758" s="428"/>
      <c r="X758" s="428"/>
    </row>
    <row r="759" spans="2:24" ht="12.75">
      <c r="B759" s="426"/>
      <c r="F759" s="428"/>
      <c r="G759" s="428"/>
      <c r="H759" s="428"/>
      <c r="I759" s="428"/>
      <c r="J759" s="428"/>
      <c r="K759" s="428"/>
      <c r="L759" s="428"/>
      <c r="M759" s="428"/>
      <c r="N759" s="428"/>
      <c r="O759" s="428"/>
      <c r="P759" s="428"/>
      <c r="Q759" s="428"/>
      <c r="S759" s="428"/>
      <c r="W759" s="428"/>
      <c r="X759" s="428"/>
    </row>
    <row r="760" spans="2:24" ht="12.75">
      <c r="B760" s="426"/>
      <c r="F760" s="428"/>
      <c r="G760" s="428"/>
      <c r="H760" s="428"/>
      <c r="I760" s="428"/>
      <c r="J760" s="428"/>
      <c r="K760" s="428"/>
      <c r="L760" s="428"/>
      <c r="M760" s="428"/>
      <c r="N760" s="428"/>
      <c r="O760" s="428"/>
      <c r="P760" s="428"/>
      <c r="Q760" s="428"/>
      <c r="S760" s="428"/>
      <c r="W760" s="428"/>
      <c r="X760" s="428"/>
    </row>
    <row r="761" spans="2:24" ht="12.75">
      <c r="B761" s="426"/>
      <c r="F761" s="428"/>
      <c r="G761" s="428"/>
      <c r="H761" s="428"/>
      <c r="I761" s="428"/>
      <c r="J761" s="428"/>
      <c r="K761" s="428"/>
      <c r="L761" s="428"/>
      <c r="M761" s="428"/>
      <c r="N761" s="428"/>
      <c r="O761" s="428"/>
      <c r="P761" s="428"/>
      <c r="Q761" s="428"/>
      <c r="S761" s="428"/>
      <c r="W761" s="428"/>
      <c r="X761" s="428"/>
    </row>
    <row r="762" spans="2:24" ht="12.75">
      <c r="B762" s="426"/>
      <c r="F762" s="428"/>
      <c r="G762" s="428"/>
      <c r="H762" s="428"/>
      <c r="I762" s="428"/>
      <c r="J762" s="428"/>
      <c r="K762" s="428"/>
      <c r="L762" s="428"/>
      <c r="M762" s="428"/>
      <c r="N762" s="428"/>
      <c r="O762" s="428"/>
      <c r="P762" s="428"/>
      <c r="Q762" s="428"/>
      <c r="S762" s="428"/>
      <c r="W762" s="428"/>
      <c r="X762" s="428"/>
    </row>
    <row r="763" spans="2:24" ht="12.75">
      <c r="B763" s="426"/>
      <c r="F763" s="428"/>
      <c r="G763" s="428"/>
      <c r="H763" s="428"/>
      <c r="I763" s="428"/>
      <c r="J763" s="428"/>
      <c r="K763" s="428"/>
      <c r="L763" s="428"/>
      <c r="M763" s="428"/>
      <c r="N763" s="428"/>
      <c r="O763" s="428"/>
      <c r="P763" s="428"/>
      <c r="Q763" s="428"/>
      <c r="S763" s="428"/>
      <c r="W763" s="428"/>
      <c r="X763" s="428"/>
    </row>
    <row r="764" spans="2:24" ht="12.75">
      <c r="B764" s="426"/>
      <c r="F764" s="428"/>
      <c r="G764" s="428"/>
      <c r="H764" s="428"/>
      <c r="I764" s="428"/>
      <c r="J764" s="428"/>
      <c r="K764" s="428"/>
      <c r="L764" s="428"/>
      <c r="M764" s="428"/>
      <c r="N764" s="428"/>
      <c r="O764" s="428"/>
      <c r="P764" s="428"/>
      <c r="Q764" s="428"/>
      <c r="S764" s="428"/>
      <c r="W764" s="428"/>
      <c r="X764" s="428"/>
    </row>
    <row r="765" spans="2:24" ht="12.75">
      <c r="B765" s="426"/>
      <c r="F765" s="428"/>
      <c r="G765" s="428"/>
      <c r="H765" s="428"/>
      <c r="I765" s="428"/>
      <c r="J765" s="428"/>
      <c r="K765" s="428"/>
      <c r="L765" s="428"/>
      <c r="M765" s="428"/>
      <c r="N765" s="428"/>
      <c r="O765" s="428"/>
      <c r="P765" s="428"/>
      <c r="Q765" s="428"/>
      <c r="S765" s="428"/>
      <c r="W765" s="428"/>
      <c r="X765" s="428"/>
    </row>
    <row r="766" spans="2:24" ht="12.75">
      <c r="B766" s="426"/>
      <c r="F766" s="428"/>
      <c r="G766" s="428"/>
      <c r="H766" s="428"/>
      <c r="I766" s="428"/>
      <c r="J766" s="428"/>
      <c r="K766" s="428"/>
      <c r="L766" s="428"/>
      <c r="M766" s="428"/>
      <c r="N766" s="428"/>
      <c r="O766" s="428"/>
      <c r="P766" s="428"/>
      <c r="Q766" s="428"/>
      <c r="S766" s="428"/>
      <c r="W766" s="428"/>
      <c r="X766" s="428"/>
    </row>
    <row r="767" spans="2:24" ht="12.75">
      <c r="B767" s="426"/>
      <c r="F767" s="428"/>
      <c r="G767" s="428"/>
      <c r="H767" s="428"/>
      <c r="I767" s="428"/>
      <c r="J767" s="428"/>
      <c r="K767" s="428"/>
      <c r="L767" s="428"/>
      <c r="M767" s="428"/>
      <c r="N767" s="428"/>
      <c r="O767" s="428"/>
      <c r="P767" s="428"/>
      <c r="Q767" s="428"/>
      <c r="S767" s="428"/>
      <c r="W767" s="428"/>
      <c r="X767" s="428"/>
    </row>
    <row r="768" spans="2:24" ht="12.75">
      <c r="B768" s="426"/>
      <c r="F768" s="428"/>
      <c r="G768" s="428"/>
      <c r="H768" s="428"/>
      <c r="I768" s="428"/>
      <c r="J768" s="428"/>
      <c r="K768" s="428"/>
      <c r="L768" s="428"/>
      <c r="M768" s="428"/>
      <c r="N768" s="428"/>
      <c r="O768" s="428"/>
      <c r="P768" s="428"/>
      <c r="Q768" s="428"/>
      <c r="S768" s="428"/>
      <c r="W768" s="428"/>
      <c r="X768" s="428"/>
    </row>
    <row r="769" spans="2:24" ht="12.75">
      <c r="B769" s="426"/>
      <c r="F769" s="428"/>
      <c r="G769" s="428"/>
      <c r="H769" s="428"/>
      <c r="I769" s="428"/>
      <c r="J769" s="428"/>
      <c r="K769" s="428"/>
      <c r="L769" s="428"/>
      <c r="M769" s="428"/>
      <c r="N769" s="428"/>
      <c r="O769" s="428"/>
      <c r="P769" s="428"/>
      <c r="Q769" s="428"/>
      <c r="S769" s="428"/>
      <c r="W769" s="428"/>
      <c r="X769" s="428"/>
    </row>
    <row r="770" spans="2:24" ht="12.75">
      <c r="B770" s="426"/>
      <c r="F770" s="428"/>
      <c r="G770" s="428"/>
      <c r="H770" s="428"/>
      <c r="I770" s="428"/>
      <c r="J770" s="428"/>
      <c r="K770" s="428"/>
      <c r="L770" s="428"/>
      <c r="M770" s="428"/>
      <c r="N770" s="428"/>
      <c r="O770" s="428"/>
      <c r="P770" s="428"/>
      <c r="Q770" s="428"/>
      <c r="S770" s="428"/>
      <c r="W770" s="428"/>
      <c r="X770" s="428"/>
    </row>
    <row r="771" spans="2:24" ht="12.75">
      <c r="B771" s="426"/>
      <c r="F771" s="428"/>
      <c r="G771" s="428"/>
      <c r="H771" s="428"/>
      <c r="I771" s="428"/>
      <c r="J771" s="428"/>
      <c r="K771" s="428"/>
      <c r="L771" s="428"/>
      <c r="M771" s="428"/>
      <c r="N771" s="428"/>
      <c r="O771" s="428"/>
      <c r="P771" s="428"/>
      <c r="Q771" s="428"/>
      <c r="S771" s="428"/>
      <c r="W771" s="428"/>
      <c r="X771" s="428"/>
    </row>
    <row r="772" spans="2:24" ht="12.75">
      <c r="B772" s="426"/>
      <c r="F772" s="428"/>
      <c r="G772" s="428"/>
      <c r="H772" s="428"/>
      <c r="I772" s="428"/>
      <c r="J772" s="428"/>
      <c r="K772" s="428"/>
      <c r="L772" s="428"/>
      <c r="M772" s="428"/>
      <c r="N772" s="428"/>
      <c r="O772" s="428"/>
      <c r="P772" s="428"/>
      <c r="Q772" s="428"/>
      <c r="S772" s="428"/>
      <c r="W772" s="428"/>
      <c r="X772" s="428"/>
    </row>
    <row r="773" spans="2:24" ht="12.75">
      <c r="B773" s="426"/>
      <c r="F773" s="428"/>
      <c r="G773" s="428"/>
      <c r="H773" s="428"/>
      <c r="I773" s="428"/>
      <c r="J773" s="428"/>
      <c r="K773" s="428"/>
      <c r="L773" s="428"/>
      <c r="M773" s="428"/>
      <c r="N773" s="428"/>
      <c r="O773" s="428"/>
      <c r="P773" s="428"/>
      <c r="Q773" s="428"/>
      <c r="S773" s="428"/>
      <c r="W773" s="428"/>
      <c r="X773" s="428"/>
    </row>
    <row r="774" spans="2:24" ht="12.75">
      <c r="B774" s="426"/>
      <c r="F774" s="428"/>
      <c r="G774" s="428"/>
      <c r="H774" s="428"/>
      <c r="I774" s="428"/>
      <c r="J774" s="428"/>
      <c r="K774" s="428"/>
      <c r="L774" s="428"/>
      <c r="M774" s="428"/>
      <c r="N774" s="428"/>
      <c r="O774" s="428"/>
      <c r="P774" s="428"/>
      <c r="Q774" s="428"/>
      <c r="S774" s="428"/>
      <c r="W774" s="428"/>
      <c r="X774" s="428"/>
    </row>
    <row r="775" spans="2:24" ht="12.75">
      <c r="B775" s="426"/>
      <c r="F775" s="428"/>
      <c r="G775" s="428"/>
      <c r="H775" s="428"/>
      <c r="I775" s="428"/>
      <c r="J775" s="428"/>
      <c r="K775" s="428"/>
      <c r="L775" s="428"/>
      <c r="M775" s="428"/>
      <c r="N775" s="428"/>
      <c r="O775" s="428"/>
      <c r="P775" s="428"/>
      <c r="Q775" s="428"/>
      <c r="S775" s="428"/>
      <c r="W775" s="428"/>
      <c r="X775" s="428"/>
    </row>
    <row r="776" spans="2:24" ht="12.75">
      <c r="B776" s="426"/>
      <c r="F776" s="428"/>
      <c r="G776" s="428"/>
      <c r="H776" s="428"/>
      <c r="I776" s="428"/>
      <c r="J776" s="428"/>
      <c r="K776" s="428"/>
      <c r="L776" s="428"/>
      <c r="M776" s="428"/>
      <c r="N776" s="428"/>
      <c r="O776" s="428"/>
      <c r="P776" s="428"/>
      <c r="Q776" s="428"/>
      <c r="S776" s="428"/>
      <c r="W776" s="428"/>
      <c r="X776" s="428"/>
    </row>
    <row r="777" spans="2:24" ht="12.75">
      <c r="B777" s="426"/>
      <c r="F777" s="428"/>
      <c r="G777" s="428"/>
      <c r="H777" s="428"/>
      <c r="I777" s="428"/>
      <c r="J777" s="428"/>
      <c r="K777" s="428"/>
      <c r="L777" s="428"/>
      <c r="M777" s="428"/>
      <c r="N777" s="428"/>
      <c r="O777" s="428"/>
      <c r="P777" s="428"/>
      <c r="Q777" s="428"/>
      <c r="S777" s="428"/>
      <c r="W777" s="428"/>
      <c r="X777" s="428"/>
    </row>
    <row r="778" spans="2:24" ht="12.75">
      <c r="B778" s="426"/>
      <c r="F778" s="428"/>
      <c r="G778" s="428"/>
      <c r="H778" s="428"/>
      <c r="I778" s="428"/>
      <c r="J778" s="428"/>
      <c r="K778" s="428"/>
      <c r="L778" s="428"/>
      <c r="M778" s="428"/>
      <c r="N778" s="428"/>
      <c r="O778" s="428"/>
      <c r="P778" s="428"/>
      <c r="Q778" s="428"/>
      <c r="S778" s="428"/>
      <c r="W778" s="428"/>
      <c r="X778" s="428"/>
    </row>
    <row r="779" spans="2:24" ht="12.75">
      <c r="B779" s="426"/>
      <c r="F779" s="428"/>
      <c r="G779" s="428"/>
      <c r="H779" s="428"/>
      <c r="I779" s="428"/>
      <c r="J779" s="428"/>
      <c r="K779" s="428"/>
      <c r="L779" s="428"/>
      <c r="M779" s="428"/>
      <c r="N779" s="428"/>
      <c r="O779" s="428"/>
      <c r="P779" s="428"/>
      <c r="Q779" s="428"/>
      <c r="S779" s="428"/>
      <c r="W779" s="428"/>
      <c r="X779" s="428"/>
    </row>
    <row r="780" spans="2:24" ht="12.75">
      <c r="B780" s="426"/>
      <c r="F780" s="428"/>
      <c r="G780" s="428"/>
      <c r="H780" s="428"/>
      <c r="I780" s="428"/>
      <c r="J780" s="428"/>
      <c r="K780" s="428"/>
      <c r="L780" s="428"/>
      <c r="M780" s="428"/>
      <c r="N780" s="428"/>
      <c r="O780" s="428"/>
      <c r="P780" s="428"/>
      <c r="Q780" s="428"/>
      <c r="S780" s="428"/>
      <c r="W780" s="428"/>
      <c r="X780" s="428"/>
    </row>
    <row r="781" spans="2:24" ht="12.75">
      <c r="B781" s="426"/>
      <c r="F781" s="428"/>
      <c r="G781" s="428"/>
      <c r="H781" s="428"/>
      <c r="I781" s="428"/>
      <c r="J781" s="428"/>
      <c r="K781" s="428"/>
      <c r="L781" s="428"/>
      <c r="M781" s="428"/>
      <c r="N781" s="428"/>
      <c r="O781" s="428"/>
      <c r="P781" s="428"/>
      <c r="Q781" s="428"/>
      <c r="S781" s="428"/>
      <c r="W781" s="428"/>
      <c r="X781" s="428"/>
    </row>
    <row r="782" spans="2:24" ht="12.75">
      <c r="B782" s="426"/>
      <c r="F782" s="428"/>
      <c r="G782" s="428"/>
      <c r="H782" s="428"/>
      <c r="I782" s="428"/>
      <c r="J782" s="428"/>
      <c r="K782" s="428"/>
      <c r="L782" s="428"/>
      <c r="M782" s="428"/>
      <c r="N782" s="428"/>
      <c r="O782" s="428"/>
      <c r="P782" s="428"/>
      <c r="Q782" s="428"/>
      <c r="S782" s="428"/>
      <c r="W782" s="428"/>
      <c r="X782" s="428"/>
    </row>
    <row r="783" spans="2:24" ht="12.75">
      <c r="B783" s="426"/>
      <c r="F783" s="428"/>
      <c r="G783" s="428"/>
      <c r="H783" s="428"/>
      <c r="I783" s="428"/>
      <c r="J783" s="428"/>
      <c r="K783" s="428"/>
      <c r="L783" s="428"/>
      <c r="M783" s="428"/>
      <c r="N783" s="428"/>
      <c r="O783" s="428"/>
      <c r="P783" s="428"/>
      <c r="Q783" s="428"/>
      <c r="S783" s="428"/>
      <c r="W783" s="428"/>
      <c r="X783" s="428"/>
    </row>
    <row r="784" spans="2:24" ht="12.75">
      <c r="B784" s="426"/>
      <c r="F784" s="428"/>
      <c r="G784" s="428"/>
      <c r="H784" s="428"/>
      <c r="I784" s="428"/>
      <c r="J784" s="428"/>
      <c r="K784" s="428"/>
      <c r="L784" s="428"/>
      <c r="M784" s="428"/>
      <c r="N784" s="428"/>
      <c r="O784" s="428"/>
      <c r="P784" s="428"/>
      <c r="Q784" s="428"/>
      <c r="S784" s="428"/>
      <c r="W784" s="428"/>
      <c r="X784" s="428"/>
    </row>
    <row r="785" spans="2:24" ht="12.75">
      <c r="B785" s="426"/>
      <c r="F785" s="428"/>
      <c r="G785" s="428"/>
      <c r="H785" s="428"/>
      <c r="I785" s="428"/>
      <c r="J785" s="428"/>
      <c r="K785" s="428"/>
      <c r="L785" s="428"/>
      <c r="M785" s="428"/>
      <c r="N785" s="428"/>
      <c r="O785" s="428"/>
      <c r="P785" s="428"/>
      <c r="Q785" s="428"/>
      <c r="S785" s="428"/>
      <c r="W785" s="428"/>
      <c r="X785" s="428"/>
    </row>
    <row r="786" spans="2:24" ht="12.75">
      <c r="B786" s="426"/>
      <c r="F786" s="428"/>
      <c r="G786" s="428"/>
      <c r="H786" s="428"/>
      <c r="I786" s="428"/>
      <c r="J786" s="428"/>
      <c r="K786" s="428"/>
      <c r="L786" s="428"/>
      <c r="M786" s="428"/>
      <c r="N786" s="428"/>
      <c r="O786" s="428"/>
      <c r="P786" s="428"/>
      <c r="Q786" s="428"/>
      <c r="S786" s="428"/>
      <c r="W786" s="428"/>
      <c r="X786" s="428"/>
    </row>
    <row r="787" spans="2:24" ht="12.75">
      <c r="B787" s="426"/>
      <c r="F787" s="428"/>
      <c r="G787" s="428"/>
      <c r="H787" s="428"/>
      <c r="I787" s="428"/>
      <c r="J787" s="428"/>
      <c r="K787" s="428"/>
      <c r="L787" s="428"/>
      <c r="M787" s="428"/>
      <c r="N787" s="428"/>
      <c r="O787" s="428"/>
      <c r="P787" s="428"/>
      <c r="Q787" s="428"/>
      <c r="S787" s="428"/>
      <c r="W787" s="428"/>
      <c r="X787" s="428"/>
    </row>
    <row r="788" spans="2:24" ht="12.75">
      <c r="B788" s="426"/>
      <c r="F788" s="428"/>
      <c r="G788" s="428"/>
      <c r="H788" s="428"/>
      <c r="I788" s="428"/>
      <c r="J788" s="428"/>
      <c r="K788" s="428"/>
      <c r="L788" s="428"/>
      <c r="M788" s="428"/>
      <c r="N788" s="428"/>
      <c r="O788" s="428"/>
      <c r="P788" s="428"/>
      <c r="Q788" s="428"/>
      <c r="S788" s="428"/>
      <c r="W788" s="428"/>
      <c r="X788" s="428"/>
    </row>
    <row r="789" spans="2:24" ht="12.75">
      <c r="B789" s="426"/>
      <c r="F789" s="428"/>
      <c r="G789" s="428"/>
      <c r="H789" s="428"/>
      <c r="I789" s="428"/>
      <c r="J789" s="428"/>
      <c r="K789" s="428"/>
      <c r="L789" s="428"/>
      <c r="M789" s="428"/>
      <c r="N789" s="428"/>
      <c r="O789" s="428"/>
      <c r="P789" s="428"/>
      <c r="Q789" s="428"/>
      <c r="S789" s="428"/>
      <c r="W789" s="428"/>
      <c r="X789" s="428"/>
    </row>
    <row r="790" spans="2:24" ht="12.75">
      <c r="B790" s="426"/>
      <c r="F790" s="428"/>
      <c r="G790" s="428"/>
      <c r="H790" s="428"/>
      <c r="I790" s="428"/>
      <c r="J790" s="428"/>
      <c r="K790" s="428"/>
      <c r="L790" s="428"/>
      <c r="M790" s="428"/>
      <c r="N790" s="428"/>
      <c r="O790" s="428"/>
      <c r="P790" s="428"/>
      <c r="Q790" s="428"/>
      <c r="S790" s="428"/>
      <c r="W790" s="428"/>
      <c r="X790" s="428"/>
    </row>
    <row r="791" spans="2:24" ht="12.75">
      <c r="B791" s="426"/>
      <c r="F791" s="428"/>
      <c r="G791" s="428"/>
      <c r="H791" s="428"/>
      <c r="I791" s="428"/>
      <c r="J791" s="428"/>
      <c r="K791" s="428"/>
      <c r="L791" s="428"/>
      <c r="M791" s="428"/>
      <c r="N791" s="428"/>
      <c r="O791" s="428"/>
      <c r="P791" s="428"/>
      <c r="Q791" s="428"/>
      <c r="S791" s="428"/>
      <c r="W791" s="428"/>
      <c r="X791" s="428"/>
    </row>
    <row r="792" spans="2:24" ht="12.75">
      <c r="B792" s="426"/>
      <c r="F792" s="428"/>
      <c r="G792" s="428"/>
      <c r="H792" s="428"/>
      <c r="I792" s="428"/>
      <c r="J792" s="428"/>
      <c r="K792" s="428"/>
      <c r="L792" s="428"/>
      <c r="M792" s="428"/>
      <c r="N792" s="428"/>
      <c r="O792" s="428"/>
      <c r="P792" s="428"/>
      <c r="Q792" s="428"/>
      <c r="S792" s="428"/>
      <c r="W792" s="428"/>
      <c r="X792" s="428"/>
    </row>
    <row r="793" spans="2:24" ht="12.75">
      <c r="B793" s="426"/>
      <c r="F793" s="428"/>
      <c r="G793" s="428"/>
      <c r="H793" s="428"/>
      <c r="I793" s="428"/>
      <c r="J793" s="428"/>
      <c r="K793" s="428"/>
      <c r="L793" s="428"/>
      <c r="M793" s="428"/>
      <c r="N793" s="428"/>
      <c r="O793" s="428"/>
      <c r="P793" s="428"/>
      <c r="Q793" s="428"/>
      <c r="S793" s="428"/>
      <c r="W793" s="428"/>
      <c r="X793" s="428"/>
    </row>
    <row r="794" spans="2:24" ht="12.75">
      <c r="B794" s="426"/>
      <c r="F794" s="428"/>
      <c r="G794" s="428"/>
      <c r="H794" s="428"/>
      <c r="I794" s="428"/>
      <c r="J794" s="428"/>
      <c r="K794" s="428"/>
      <c r="L794" s="428"/>
      <c r="M794" s="428"/>
      <c r="N794" s="428"/>
      <c r="O794" s="428"/>
      <c r="P794" s="428"/>
      <c r="Q794" s="428"/>
      <c r="S794" s="428"/>
      <c r="W794" s="428"/>
      <c r="X794" s="428"/>
    </row>
    <row r="795" spans="2:24" ht="12.75">
      <c r="B795" s="426"/>
      <c r="F795" s="428"/>
      <c r="G795" s="428"/>
      <c r="H795" s="428"/>
      <c r="I795" s="428"/>
      <c r="J795" s="428"/>
      <c r="K795" s="428"/>
      <c r="L795" s="428"/>
      <c r="M795" s="428"/>
      <c r="N795" s="428"/>
      <c r="O795" s="428"/>
      <c r="P795" s="428"/>
      <c r="Q795" s="428"/>
      <c r="S795" s="428"/>
      <c r="W795" s="428"/>
      <c r="X795" s="428"/>
    </row>
    <row r="796" spans="2:24" ht="12.75">
      <c r="B796" s="426"/>
      <c r="F796" s="428"/>
      <c r="G796" s="428"/>
      <c r="H796" s="428"/>
      <c r="I796" s="428"/>
      <c r="J796" s="428"/>
      <c r="K796" s="428"/>
      <c r="L796" s="428"/>
      <c r="M796" s="428"/>
      <c r="N796" s="428"/>
      <c r="O796" s="428"/>
      <c r="P796" s="428"/>
      <c r="Q796" s="428"/>
      <c r="S796" s="428"/>
      <c r="W796" s="428"/>
      <c r="X796" s="428"/>
    </row>
    <row r="797" spans="2:24" ht="12.75">
      <c r="B797" s="426"/>
      <c r="F797" s="428"/>
      <c r="G797" s="428"/>
      <c r="H797" s="428"/>
      <c r="I797" s="428"/>
      <c r="J797" s="428"/>
      <c r="K797" s="428"/>
      <c r="L797" s="428"/>
      <c r="M797" s="428"/>
      <c r="N797" s="428"/>
      <c r="O797" s="428"/>
      <c r="P797" s="428"/>
      <c r="Q797" s="428"/>
      <c r="S797" s="428"/>
      <c r="W797" s="428"/>
      <c r="X797" s="428"/>
    </row>
    <row r="798" spans="2:24" ht="12.75">
      <c r="B798" s="426"/>
      <c r="F798" s="428"/>
      <c r="G798" s="428"/>
      <c r="H798" s="428"/>
      <c r="I798" s="428"/>
      <c r="J798" s="428"/>
      <c r="K798" s="428"/>
      <c r="L798" s="428"/>
      <c r="M798" s="428"/>
      <c r="N798" s="428"/>
      <c r="O798" s="428"/>
      <c r="P798" s="428"/>
      <c r="Q798" s="428"/>
      <c r="S798" s="428"/>
      <c r="W798" s="428"/>
      <c r="X798" s="428"/>
    </row>
    <row r="799" spans="2:24" ht="12.75">
      <c r="B799" s="426"/>
      <c r="F799" s="428"/>
      <c r="G799" s="428"/>
      <c r="H799" s="428"/>
      <c r="I799" s="428"/>
      <c r="J799" s="428"/>
      <c r="K799" s="428"/>
      <c r="L799" s="428"/>
      <c r="M799" s="428"/>
      <c r="N799" s="428"/>
      <c r="O799" s="428"/>
      <c r="P799" s="428"/>
      <c r="Q799" s="428"/>
      <c r="S799" s="428"/>
      <c r="W799" s="428"/>
      <c r="X799" s="428"/>
    </row>
    <row r="800" spans="2:24" ht="12.75">
      <c r="B800" s="426"/>
      <c r="F800" s="428"/>
      <c r="G800" s="428"/>
      <c r="H800" s="428"/>
      <c r="I800" s="428"/>
      <c r="J800" s="428"/>
      <c r="K800" s="428"/>
      <c r="L800" s="428"/>
      <c r="M800" s="428"/>
      <c r="N800" s="428"/>
      <c r="O800" s="428"/>
      <c r="P800" s="428"/>
      <c r="Q800" s="428"/>
      <c r="S800" s="428"/>
      <c r="W800" s="428"/>
      <c r="X800" s="428"/>
    </row>
    <row r="801" spans="2:24" ht="12.75">
      <c r="B801" s="426"/>
      <c r="F801" s="428"/>
      <c r="G801" s="428"/>
      <c r="H801" s="428"/>
      <c r="I801" s="428"/>
      <c r="J801" s="428"/>
      <c r="K801" s="428"/>
      <c r="L801" s="428"/>
      <c r="M801" s="428"/>
      <c r="N801" s="428"/>
      <c r="O801" s="428"/>
      <c r="P801" s="428"/>
      <c r="Q801" s="428"/>
      <c r="S801" s="428"/>
      <c r="W801" s="428"/>
      <c r="X801" s="428"/>
    </row>
    <row r="802" spans="2:24" ht="12.75">
      <c r="B802" s="426"/>
      <c r="F802" s="428"/>
      <c r="G802" s="428"/>
      <c r="H802" s="428"/>
      <c r="I802" s="428"/>
      <c r="J802" s="428"/>
      <c r="K802" s="428"/>
      <c r="L802" s="428"/>
      <c r="M802" s="428"/>
      <c r="N802" s="428"/>
      <c r="O802" s="428"/>
      <c r="P802" s="428"/>
      <c r="Q802" s="428"/>
      <c r="S802" s="428"/>
      <c r="W802" s="428"/>
      <c r="X802" s="428"/>
    </row>
    <row r="803" spans="2:24" ht="12.75">
      <c r="B803" s="426"/>
      <c r="F803" s="428"/>
      <c r="G803" s="428"/>
      <c r="H803" s="428"/>
      <c r="I803" s="428"/>
      <c r="J803" s="428"/>
      <c r="K803" s="428"/>
      <c r="L803" s="428"/>
      <c r="M803" s="428"/>
      <c r="N803" s="428"/>
      <c r="O803" s="428"/>
      <c r="P803" s="428"/>
      <c r="Q803" s="428"/>
      <c r="S803" s="428"/>
      <c r="W803" s="428"/>
      <c r="X803" s="428"/>
    </row>
    <row r="804" spans="2:24" ht="12.75">
      <c r="B804" s="426"/>
      <c r="F804" s="428"/>
      <c r="G804" s="428"/>
      <c r="H804" s="428"/>
      <c r="I804" s="428"/>
      <c r="J804" s="428"/>
      <c r="K804" s="428"/>
      <c r="L804" s="428"/>
      <c r="M804" s="428"/>
      <c r="N804" s="428"/>
      <c r="O804" s="428"/>
      <c r="P804" s="428"/>
      <c r="Q804" s="428"/>
      <c r="S804" s="428"/>
      <c r="W804" s="428"/>
      <c r="X804" s="428"/>
    </row>
    <row r="805" spans="2:24" ht="12.75">
      <c r="B805" s="426"/>
      <c r="F805" s="428"/>
      <c r="G805" s="428"/>
      <c r="H805" s="428"/>
      <c r="I805" s="428"/>
      <c r="J805" s="428"/>
      <c r="K805" s="428"/>
      <c r="L805" s="428"/>
      <c r="M805" s="428"/>
      <c r="N805" s="428"/>
      <c r="O805" s="428"/>
      <c r="P805" s="428"/>
      <c r="Q805" s="428"/>
      <c r="S805" s="428"/>
      <c r="W805" s="428"/>
      <c r="X805" s="428"/>
    </row>
    <row r="806" spans="2:24" ht="12.75">
      <c r="B806" s="426"/>
      <c r="F806" s="428"/>
      <c r="G806" s="428"/>
      <c r="H806" s="428"/>
      <c r="I806" s="428"/>
      <c r="J806" s="428"/>
      <c r="K806" s="428"/>
      <c r="L806" s="428"/>
      <c r="M806" s="428"/>
      <c r="N806" s="428"/>
      <c r="O806" s="428"/>
      <c r="P806" s="428"/>
      <c r="Q806" s="428"/>
      <c r="S806" s="428"/>
      <c r="W806" s="428"/>
      <c r="X806" s="428"/>
    </row>
    <row r="807" spans="2:24" ht="12.75">
      <c r="B807" s="426"/>
      <c r="F807" s="428"/>
      <c r="G807" s="428"/>
      <c r="H807" s="428"/>
      <c r="I807" s="428"/>
      <c r="J807" s="428"/>
      <c r="K807" s="428"/>
      <c r="L807" s="428"/>
      <c r="M807" s="428"/>
      <c r="N807" s="428"/>
      <c r="O807" s="428"/>
      <c r="P807" s="428"/>
      <c r="Q807" s="428"/>
      <c r="S807" s="428"/>
      <c r="W807" s="428"/>
      <c r="X807" s="428"/>
    </row>
    <row r="808" spans="2:24" ht="12.75">
      <c r="B808" s="426"/>
      <c r="F808" s="428"/>
      <c r="G808" s="428"/>
      <c r="H808" s="428"/>
      <c r="I808" s="428"/>
      <c r="J808" s="428"/>
      <c r="K808" s="428"/>
      <c r="L808" s="428"/>
      <c r="M808" s="428"/>
      <c r="N808" s="428"/>
      <c r="O808" s="428"/>
      <c r="P808" s="428"/>
      <c r="Q808" s="428"/>
      <c r="S808" s="428"/>
      <c r="W808" s="428"/>
      <c r="X808" s="428"/>
    </row>
    <row r="809" spans="2:24" ht="12.75">
      <c r="B809" s="426"/>
      <c r="F809" s="428"/>
      <c r="G809" s="428"/>
      <c r="H809" s="428"/>
      <c r="I809" s="428"/>
      <c r="J809" s="428"/>
      <c r="K809" s="428"/>
      <c r="L809" s="428"/>
      <c r="M809" s="428"/>
      <c r="N809" s="428"/>
      <c r="O809" s="428"/>
      <c r="P809" s="428"/>
      <c r="Q809" s="428"/>
      <c r="S809" s="428"/>
      <c r="W809" s="428"/>
      <c r="X809" s="428"/>
    </row>
    <row r="810" spans="2:24" ht="12.75">
      <c r="B810" s="426"/>
      <c r="F810" s="428"/>
      <c r="G810" s="428"/>
      <c r="H810" s="428"/>
      <c r="I810" s="428"/>
      <c r="J810" s="428"/>
      <c r="K810" s="428"/>
      <c r="L810" s="428"/>
      <c r="M810" s="428"/>
      <c r="N810" s="428"/>
      <c r="O810" s="428"/>
      <c r="P810" s="428"/>
      <c r="Q810" s="428"/>
      <c r="S810" s="428"/>
      <c r="W810" s="428"/>
      <c r="X810" s="428"/>
    </row>
    <row r="811" spans="2:24" ht="12.75">
      <c r="B811" s="426"/>
      <c r="F811" s="428"/>
      <c r="G811" s="428"/>
      <c r="H811" s="428"/>
      <c r="I811" s="428"/>
      <c r="J811" s="428"/>
      <c r="K811" s="428"/>
      <c r="L811" s="428"/>
      <c r="M811" s="428"/>
      <c r="N811" s="428"/>
      <c r="O811" s="428"/>
      <c r="P811" s="428"/>
      <c r="Q811" s="428"/>
      <c r="S811" s="428"/>
      <c r="W811" s="428"/>
      <c r="X811" s="428"/>
    </row>
    <row r="812" spans="2:24" ht="12.75">
      <c r="B812" s="426"/>
      <c r="F812" s="428"/>
      <c r="G812" s="428"/>
      <c r="H812" s="428"/>
      <c r="I812" s="428"/>
      <c r="J812" s="428"/>
      <c r="K812" s="428"/>
      <c r="L812" s="428"/>
      <c r="M812" s="428"/>
      <c r="N812" s="428"/>
      <c r="O812" s="428"/>
      <c r="P812" s="428"/>
      <c r="Q812" s="428"/>
      <c r="S812" s="428"/>
      <c r="W812" s="428"/>
      <c r="X812" s="428"/>
    </row>
    <row r="813" spans="2:24" ht="12.75">
      <c r="B813" s="426"/>
      <c r="F813" s="428"/>
      <c r="G813" s="428"/>
      <c r="H813" s="428"/>
      <c r="I813" s="428"/>
      <c r="J813" s="428"/>
      <c r="K813" s="428"/>
      <c r="L813" s="428"/>
      <c r="M813" s="428"/>
      <c r="N813" s="428"/>
      <c r="O813" s="428"/>
      <c r="P813" s="428"/>
      <c r="Q813" s="428"/>
      <c r="S813" s="428"/>
      <c r="W813" s="428"/>
      <c r="X813" s="428"/>
    </row>
    <row r="814" spans="2:24" ht="12.75">
      <c r="B814" s="426"/>
      <c r="F814" s="428"/>
      <c r="G814" s="428"/>
      <c r="H814" s="428"/>
      <c r="I814" s="428"/>
      <c r="J814" s="428"/>
      <c r="K814" s="428"/>
      <c r="L814" s="428"/>
      <c r="M814" s="428"/>
      <c r="N814" s="428"/>
      <c r="O814" s="428"/>
      <c r="P814" s="428"/>
      <c r="Q814" s="428"/>
      <c r="S814" s="428"/>
      <c r="W814" s="428"/>
      <c r="X814" s="428"/>
    </row>
    <row r="815" spans="2:24" ht="12.75">
      <c r="B815" s="426"/>
      <c r="F815" s="428"/>
      <c r="G815" s="428"/>
      <c r="H815" s="428"/>
      <c r="I815" s="428"/>
      <c r="J815" s="428"/>
      <c r="K815" s="428"/>
      <c r="L815" s="428"/>
      <c r="M815" s="428"/>
      <c r="N815" s="428"/>
      <c r="O815" s="428"/>
      <c r="P815" s="428"/>
      <c r="Q815" s="428"/>
      <c r="S815" s="428"/>
      <c r="W815" s="428"/>
      <c r="X815" s="428"/>
    </row>
    <row r="816" spans="2:24" ht="12.75">
      <c r="B816" s="426"/>
      <c r="F816" s="428"/>
      <c r="G816" s="428"/>
      <c r="H816" s="428"/>
      <c r="I816" s="428"/>
      <c r="J816" s="428"/>
      <c r="K816" s="428"/>
      <c r="L816" s="428"/>
      <c r="M816" s="428"/>
      <c r="N816" s="428"/>
      <c r="O816" s="428"/>
      <c r="P816" s="428"/>
      <c r="Q816" s="428"/>
      <c r="S816" s="428"/>
      <c r="W816" s="428"/>
      <c r="X816" s="428"/>
    </row>
    <row r="817" spans="2:24" ht="12.75">
      <c r="B817" s="426"/>
      <c r="F817" s="428"/>
      <c r="G817" s="428"/>
      <c r="H817" s="428"/>
      <c r="I817" s="428"/>
      <c r="J817" s="428"/>
      <c r="K817" s="428"/>
      <c r="L817" s="428"/>
      <c r="M817" s="428"/>
      <c r="N817" s="428"/>
      <c r="O817" s="428"/>
      <c r="P817" s="428"/>
      <c r="Q817" s="428"/>
      <c r="S817" s="428"/>
      <c r="W817" s="428"/>
      <c r="X817" s="428"/>
    </row>
    <row r="818" spans="2:24" ht="12.75">
      <c r="B818" s="426"/>
      <c r="F818" s="428"/>
      <c r="G818" s="428"/>
      <c r="H818" s="428"/>
      <c r="I818" s="428"/>
      <c r="J818" s="428"/>
      <c r="K818" s="428"/>
      <c r="L818" s="428"/>
      <c r="M818" s="428"/>
      <c r="N818" s="428"/>
      <c r="O818" s="428"/>
      <c r="P818" s="428"/>
      <c r="Q818" s="428"/>
      <c r="S818" s="428"/>
      <c r="W818" s="428"/>
      <c r="X818" s="428"/>
    </row>
    <row r="819" spans="2:24" ht="12.75">
      <c r="B819" s="426"/>
      <c r="F819" s="428"/>
      <c r="G819" s="428"/>
      <c r="H819" s="428"/>
      <c r="I819" s="428"/>
      <c r="J819" s="428"/>
      <c r="K819" s="428"/>
      <c r="L819" s="428"/>
      <c r="M819" s="428"/>
      <c r="N819" s="428"/>
      <c r="O819" s="428"/>
      <c r="P819" s="428"/>
      <c r="Q819" s="428"/>
      <c r="S819" s="428"/>
      <c r="W819" s="428"/>
      <c r="X819" s="428"/>
    </row>
    <row r="820" spans="2:24" ht="12.75">
      <c r="B820" s="426"/>
      <c r="F820" s="428"/>
      <c r="G820" s="428"/>
      <c r="H820" s="428"/>
      <c r="I820" s="428"/>
      <c r="J820" s="428"/>
      <c r="K820" s="428"/>
      <c r="L820" s="428"/>
      <c r="M820" s="428"/>
      <c r="N820" s="428"/>
      <c r="O820" s="428"/>
      <c r="P820" s="428"/>
      <c r="Q820" s="428"/>
      <c r="S820" s="428"/>
      <c r="W820" s="428"/>
      <c r="X820" s="428"/>
    </row>
    <row r="821" spans="2:24" ht="12.75">
      <c r="B821" s="426"/>
      <c r="F821" s="428"/>
      <c r="G821" s="428"/>
      <c r="H821" s="428"/>
      <c r="I821" s="428"/>
      <c r="J821" s="428"/>
      <c r="K821" s="428"/>
      <c r="L821" s="428"/>
      <c r="M821" s="428"/>
      <c r="N821" s="428"/>
      <c r="O821" s="428"/>
      <c r="P821" s="428"/>
      <c r="Q821" s="428"/>
      <c r="S821" s="428"/>
      <c r="W821" s="428"/>
      <c r="X821" s="428"/>
    </row>
    <row r="822" spans="2:24" ht="12.75">
      <c r="B822" s="426"/>
      <c r="F822" s="428"/>
      <c r="G822" s="428"/>
      <c r="H822" s="428"/>
      <c r="I822" s="428"/>
      <c r="J822" s="428"/>
      <c r="K822" s="428"/>
      <c r="L822" s="428"/>
      <c r="M822" s="428"/>
      <c r="N822" s="428"/>
      <c r="O822" s="428"/>
      <c r="P822" s="428"/>
      <c r="Q822" s="428"/>
      <c r="S822" s="428"/>
      <c r="W822" s="428"/>
      <c r="X822" s="428"/>
    </row>
    <row r="823" spans="2:24" ht="12.75">
      <c r="B823" s="426"/>
      <c r="F823" s="428"/>
      <c r="G823" s="428"/>
      <c r="H823" s="428"/>
      <c r="I823" s="428"/>
      <c r="J823" s="428"/>
      <c r="K823" s="428"/>
      <c r="L823" s="428"/>
      <c r="M823" s="428"/>
      <c r="N823" s="428"/>
      <c r="O823" s="428"/>
      <c r="P823" s="428"/>
      <c r="Q823" s="428"/>
      <c r="S823" s="428"/>
      <c r="W823" s="428"/>
      <c r="X823" s="428"/>
    </row>
    <row r="824" spans="2:24" ht="12.75">
      <c r="B824" s="426"/>
      <c r="F824" s="428"/>
      <c r="G824" s="428"/>
      <c r="H824" s="428"/>
      <c r="I824" s="428"/>
      <c r="J824" s="428"/>
      <c r="K824" s="428"/>
      <c r="L824" s="428"/>
      <c r="M824" s="428"/>
      <c r="N824" s="428"/>
      <c r="O824" s="428"/>
      <c r="P824" s="428"/>
      <c r="Q824" s="428"/>
      <c r="S824" s="428"/>
      <c r="W824" s="428"/>
      <c r="X824" s="428"/>
    </row>
    <row r="825" spans="2:24" ht="12.75">
      <c r="B825" s="426"/>
      <c r="F825" s="428"/>
      <c r="G825" s="428"/>
      <c r="H825" s="428"/>
      <c r="I825" s="428"/>
      <c r="J825" s="428"/>
      <c r="K825" s="428"/>
      <c r="L825" s="428"/>
      <c r="M825" s="428"/>
      <c r="N825" s="428"/>
      <c r="O825" s="428"/>
      <c r="P825" s="428"/>
      <c r="Q825" s="428"/>
      <c r="S825" s="428"/>
      <c r="W825" s="428"/>
      <c r="X825" s="428"/>
    </row>
    <row r="826" spans="2:24" ht="12.75">
      <c r="B826" s="426"/>
      <c r="F826" s="428"/>
      <c r="G826" s="428"/>
      <c r="H826" s="428"/>
      <c r="I826" s="428"/>
      <c r="J826" s="428"/>
      <c r="K826" s="428"/>
      <c r="L826" s="428"/>
      <c r="M826" s="428"/>
      <c r="N826" s="428"/>
      <c r="O826" s="428"/>
      <c r="P826" s="428"/>
      <c r="Q826" s="428"/>
      <c r="S826" s="428"/>
      <c r="W826" s="428"/>
      <c r="X826" s="428"/>
    </row>
    <row r="827" spans="2:24" ht="12.75">
      <c r="B827" s="426"/>
      <c r="F827" s="428"/>
      <c r="G827" s="428"/>
      <c r="H827" s="428"/>
      <c r="I827" s="428"/>
      <c r="J827" s="428"/>
      <c r="K827" s="428"/>
      <c r="L827" s="428"/>
      <c r="M827" s="428"/>
      <c r="N827" s="428"/>
      <c r="O827" s="428"/>
      <c r="P827" s="428"/>
      <c r="Q827" s="428"/>
      <c r="S827" s="428"/>
      <c r="W827" s="428"/>
      <c r="X827" s="428"/>
    </row>
    <row r="828" spans="2:24" ht="12.75">
      <c r="B828" s="426"/>
      <c r="F828" s="428"/>
      <c r="G828" s="428"/>
      <c r="H828" s="428"/>
      <c r="I828" s="428"/>
      <c r="J828" s="428"/>
      <c r="K828" s="428"/>
      <c r="L828" s="428"/>
      <c r="M828" s="428"/>
      <c r="N828" s="428"/>
      <c r="O828" s="428"/>
      <c r="P828" s="428"/>
      <c r="Q828" s="428"/>
      <c r="S828" s="428"/>
      <c r="W828" s="428"/>
      <c r="X828" s="428"/>
    </row>
    <row r="829" spans="2:24" ht="12.75">
      <c r="B829" s="426"/>
      <c r="F829" s="428"/>
      <c r="G829" s="428"/>
      <c r="H829" s="428"/>
      <c r="I829" s="428"/>
      <c r="J829" s="428"/>
      <c r="K829" s="428"/>
      <c r="L829" s="428"/>
      <c r="M829" s="428"/>
      <c r="N829" s="428"/>
      <c r="O829" s="428"/>
      <c r="P829" s="428"/>
      <c r="Q829" s="428"/>
      <c r="S829" s="428"/>
      <c r="W829" s="428"/>
      <c r="X829" s="428"/>
    </row>
    <row r="830" spans="2:24" ht="12.75">
      <c r="B830" s="426"/>
      <c r="F830" s="428"/>
      <c r="G830" s="428"/>
      <c r="H830" s="428"/>
      <c r="I830" s="428"/>
      <c r="J830" s="428"/>
      <c r="K830" s="428"/>
      <c r="L830" s="428"/>
      <c r="M830" s="428"/>
      <c r="N830" s="428"/>
      <c r="O830" s="428"/>
      <c r="P830" s="428"/>
      <c r="Q830" s="428"/>
      <c r="S830" s="428"/>
      <c r="W830" s="428"/>
      <c r="X830" s="428"/>
    </row>
    <row r="831" spans="2:24" ht="12.75">
      <c r="B831" s="426"/>
      <c r="F831" s="428"/>
      <c r="G831" s="428"/>
      <c r="H831" s="428"/>
      <c r="I831" s="428"/>
      <c r="J831" s="428"/>
      <c r="K831" s="428"/>
      <c r="L831" s="428"/>
      <c r="M831" s="428"/>
      <c r="N831" s="428"/>
      <c r="O831" s="428"/>
      <c r="P831" s="428"/>
      <c r="Q831" s="428"/>
      <c r="S831" s="428"/>
      <c r="W831" s="428"/>
      <c r="X831" s="428"/>
    </row>
    <row r="832" spans="2:24" ht="12.75">
      <c r="B832" s="426"/>
      <c r="F832" s="428"/>
      <c r="G832" s="428"/>
      <c r="H832" s="428"/>
      <c r="I832" s="428"/>
      <c r="J832" s="428"/>
      <c r="K832" s="428"/>
      <c r="L832" s="428"/>
      <c r="M832" s="428"/>
      <c r="N832" s="428"/>
      <c r="O832" s="428"/>
      <c r="P832" s="428"/>
      <c r="Q832" s="428"/>
      <c r="S832" s="428"/>
      <c r="W832" s="428"/>
      <c r="X832" s="428"/>
    </row>
    <row r="833" spans="2:24" ht="12.75">
      <c r="B833" s="426"/>
      <c r="F833" s="428"/>
      <c r="G833" s="428"/>
      <c r="H833" s="428"/>
      <c r="I833" s="428"/>
      <c r="J833" s="428"/>
      <c r="K833" s="428"/>
      <c r="L833" s="428"/>
      <c r="M833" s="428"/>
      <c r="N833" s="428"/>
      <c r="O833" s="428"/>
      <c r="P833" s="428"/>
      <c r="Q833" s="428"/>
      <c r="S833" s="428"/>
      <c r="W833" s="428"/>
      <c r="X833" s="428"/>
    </row>
    <row r="834" spans="2:24" ht="12.75">
      <c r="B834" s="426"/>
      <c r="F834" s="428"/>
      <c r="G834" s="428"/>
      <c r="H834" s="428"/>
      <c r="I834" s="428"/>
      <c r="J834" s="428"/>
      <c r="K834" s="428"/>
      <c r="L834" s="428"/>
      <c r="M834" s="428"/>
      <c r="N834" s="428"/>
      <c r="O834" s="428"/>
      <c r="P834" s="428"/>
      <c r="Q834" s="428"/>
      <c r="S834" s="428"/>
      <c r="W834" s="428"/>
      <c r="X834" s="428"/>
    </row>
    <row r="835" spans="2:24" ht="12.75">
      <c r="B835" s="426"/>
      <c r="F835" s="428"/>
      <c r="G835" s="428"/>
      <c r="H835" s="428"/>
      <c r="I835" s="428"/>
      <c r="J835" s="428"/>
      <c r="K835" s="428"/>
      <c r="L835" s="428"/>
      <c r="M835" s="428"/>
      <c r="N835" s="428"/>
      <c r="O835" s="428"/>
      <c r="P835" s="428"/>
      <c r="Q835" s="428"/>
      <c r="S835" s="428"/>
      <c r="W835" s="428"/>
      <c r="X835" s="428"/>
    </row>
    <row r="836" spans="2:24" ht="12.75">
      <c r="B836" s="426"/>
      <c r="F836" s="428"/>
      <c r="G836" s="428"/>
      <c r="H836" s="428"/>
      <c r="I836" s="428"/>
      <c r="J836" s="428"/>
      <c r="K836" s="428"/>
      <c r="L836" s="428"/>
      <c r="M836" s="428"/>
      <c r="N836" s="428"/>
      <c r="O836" s="428"/>
      <c r="P836" s="428"/>
      <c r="Q836" s="428"/>
      <c r="S836" s="428"/>
      <c r="W836" s="428"/>
      <c r="X836" s="428"/>
    </row>
    <row r="837" spans="2:24" ht="12.75">
      <c r="B837" s="426"/>
      <c r="F837" s="428"/>
      <c r="G837" s="428"/>
      <c r="H837" s="428"/>
      <c r="I837" s="428"/>
      <c r="J837" s="428"/>
      <c r="K837" s="428"/>
      <c r="L837" s="428"/>
      <c r="M837" s="428"/>
      <c r="N837" s="428"/>
      <c r="O837" s="428"/>
      <c r="P837" s="428"/>
      <c r="Q837" s="428"/>
      <c r="S837" s="428"/>
      <c r="W837" s="428"/>
      <c r="X837" s="428"/>
    </row>
    <row r="838" spans="2:24" ht="12.75">
      <c r="B838" s="426"/>
      <c r="F838" s="428"/>
      <c r="G838" s="428"/>
      <c r="H838" s="428"/>
      <c r="I838" s="428"/>
      <c r="J838" s="428"/>
      <c r="K838" s="428"/>
      <c r="L838" s="428"/>
      <c r="M838" s="428"/>
      <c r="N838" s="428"/>
      <c r="O838" s="428"/>
      <c r="P838" s="428"/>
      <c r="Q838" s="428"/>
      <c r="S838" s="428"/>
      <c r="W838" s="428"/>
      <c r="X838" s="428"/>
    </row>
    <row r="839" spans="2:24" ht="12.75">
      <c r="B839" s="426"/>
      <c r="F839" s="428"/>
      <c r="G839" s="428"/>
      <c r="H839" s="428"/>
      <c r="I839" s="428"/>
      <c r="J839" s="428"/>
      <c r="K839" s="428"/>
      <c r="L839" s="428"/>
      <c r="M839" s="428"/>
      <c r="N839" s="428"/>
      <c r="O839" s="428"/>
      <c r="P839" s="428"/>
      <c r="Q839" s="428"/>
      <c r="S839" s="428"/>
      <c r="W839" s="428"/>
      <c r="X839" s="428"/>
    </row>
    <row r="840" spans="2:24" ht="12.75">
      <c r="B840" s="426"/>
      <c r="F840" s="428"/>
      <c r="G840" s="428"/>
      <c r="H840" s="428"/>
      <c r="I840" s="428"/>
      <c r="J840" s="428"/>
      <c r="K840" s="428"/>
      <c r="L840" s="428"/>
      <c r="M840" s="428"/>
      <c r="N840" s="428"/>
      <c r="O840" s="428"/>
      <c r="P840" s="428"/>
      <c r="Q840" s="428"/>
      <c r="S840" s="428"/>
      <c r="W840" s="428"/>
      <c r="X840" s="428"/>
    </row>
    <row r="841" spans="2:24" ht="12.75">
      <c r="B841" s="426"/>
      <c r="F841" s="428"/>
      <c r="G841" s="428"/>
      <c r="H841" s="428"/>
      <c r="I841" s="428"/>
      <c r="J841" s="428"/>
      <c r="K841" s="428"/>
      <c r="L841" s="428"/>
      <c r="M841" s="428"/>
      <c r="N841" s="428"/>
      <c r="O841" s="428"/>
      <c r="P841" s="428"/>
      <c r="Q841" s="428"/>
      <c r="S841" s="428"/>
      <c r="W841" s="428"/>
      <c r="X841" s="428"/>
    </row>
    <row r="842" spans="2:24" ht="12.75">
      <c r="B842" s="426"/>
      <c r="F842" s="428"/>
      <c r="G842" s="428"/>
      <c r="H842" s="428"/>
      <c r="I842" s="428"/>
      <c r="J842" s="428"/>
      <c r="K842" s="428"/>
      <c r="L842" s="428"/>
      <c r="M842" s="428"/>
      <c r="N842" s="428"/>
      <c r="O842" s="428"/>
      <c r="P842" s="428"/>
      <c r="Q842" s="428"/>
      <c r="S842" s="428"/>
      <c r="W842" s="428"/>
      <c r="X842" s="428"/>
    </row>
    <row r="843" spans="2:24" ht="12.75">
      <c r="B843" s="426"/>
      <c r="F843" s="428"/>
      <c r="G843" s="428"/>
      <c r="H843" s="428"/>
      <c r="I843" s="428"/>
      <c r="J843" s="428"/>
      <c r="K843" s="428"/>
      <c r="L843" s="428"/>
      <c r="M843" s="428"/>
      <c r="N843" s="428"/>
      <c r="O843" s="428"/>
      <c r="P843" s="428"/>
      <c r="Q843" s="428"/>
      <c r="S843" s="428"/>
      <c r="W843" s="428"/>
      <c r="X843" s="428"/>
    </row>
    <row r="844" spans="2:24" ht="12.75">
      <c r="B844" s="426"/>
      <c r="F844" s="428"/>
      <c r="G844" s="428"/>
      <c r="H844" s="428"/>
      <c r="I844" s="428"/>
      <c r="J844" s="428"/>
      <c r="K844" s="428"/>
      <c r="L844" s="428"/>
      <c r="M844" s="428"/>
      <c r="N844" s="428"/>
      <c r="O844" s="428"/>
      <c r="P844" s="428"/>
      <c r="Q844" s="428"/>
      <c r="S844" s="428"/>
      <c r="W844" s="428"/>
      <c r="X844" s="428"/>
    </row>
    <row r="845" spans="2:24" ht="12.75">
      <c r="B845" s="426"/>
      <c r="F845" s="428"/>
      <c r="G845" s="428"/>
      <c r="H845" s="428"/>
      <c r="I845" s="428"/>
      <c r="J845" s="428"/>
      <c r="K845" s="428"/>
      <c r="L845" s="428"/>
      <c r="M845" s="428"/>
      <c r="N845" s="428"/>
      <c r="O845" s="428"/>
      <c r="P845" s="428"/>
      <c r="Q845" s="428"/>
      <c r="S845" s="428"/>
      <c r="W845" s="428"/>
      <c r="X845" s="428"/>
    </row>
    <row r="846" spans="2:24" ht="12.75">
      <c r="B846" s="426"/>
      <c r="F846" s="428"/>
      <c r="G846" s="428"/>
      <c r="H846" s="428"/>
      <c r="I846" s="428"/>
      <c r="J846" s="428"/>
      <c r="K846" s="428"/>
      <c r="L846" s="428"/>
      <c r="M846" s="428"/>
      <c r="N846" s="428"/>
      <c r="O846" s="428"/>
      <c r="P846" s="428"/>
      <c r="Q846" s="428"/>
      <c r="S846" s="428"/>
      <c r="W846" s="428"/>
      <c r="X846" s="428"/>
    </row>
    <row r="847" spans="2:24" ht="12.75">
      <c r="B847" s="426"/>
      <c r="F847" s="428"/>
      <c r="G847" s="428"/>
      <c r="H847" s="428"/>
      <c r="I847" s="428"/>
      <c r="J847" s="428"/>
      <c r="K847" s="428"/>
      <c r="L847" s="428"/>
      <c r="M847" s="428"/>
      <c r="N847" s="428"/>
      <c r="O847" s="428"/>
      <c r="P847" s="428"/>
      <c r="Q847" s="428"/>
      <c r="S847" s="428"/>
      <c r="W847" s="428"/>
      <c r="X847" s="428"/>
    </row>
    <row r="848" spans="2:24" ht="12.75">
      <c r="B848" s="426"/>
      <c r="F848" s="428"/>
      <c r="G848" s="428"/>
      <c r="H848" s="428"/>
      <c r="I848" s="428"/>
      <c r="J848" s="428"/>
      <c r="K848" s="428"/>
      <c r="L848" s="428"/>
      <c r="M848" s="428"/>
      <c r="N848" s="428"/>
      <c r="O848" s="428"/>
      <c r="P848" s="428"/>
      <c r="Q848" s="428"/>
      <c r="S848" s="428"/>
      <c r="W848" s="428"/>
      <c r="X848" s="428"/>
    </row>
    <row r="849" spans="2:24" ht="12.75">
      <c r="B849" s="426"/>
      <c r="F849" s="428"/>
      <c r="G849" s="428"/>
      <c r="H849" s="428"/>
      <c r="I849" s="428"/>
      <c r="J849" s="428"/>
      <c r="K849" s="428"/>
      <c r="L849" s="428"/>
      <c r="M849" s="428"/>
      <c r="N849" s="428"/>
      <c r="O849" s="428"/>
      <c r="P849" s="428"/>
      <c r="Q849" s="428"/>
      <c r="S849" s="428"/>
      <c r="W849" s="428"/>
      <c r="X849" s="428"/>
    </row>
    <row r="850" spans="2:24" ht="12.75">
      <c r="B850" s="426"/>
      <c r="F850" s="428"/>
      <c r="G850" s="428"/>
      <c r="H850" s="428"/>
      <c r="I850" s="428"/>
      <c r="J850" s="428"/>
      <c r="K850" s="428"/>
      <c r="L850" s="428"/>
      <c r="M850" s="428"/>
      <c r="N850" s="428"/>
      <c r="O850" s="428"/>
      <c r="P850" s="428"/>
      <c r="Q850" s="428"/>
      <c r="S850" s="428"/>
      <c r="W850" s="428"/>
      <c r="X850" s="428"/>
    </row>
    <row r="851" spans="2:24" ht="12.75">
      <c r="B851" s="426"/>
      <c r="F851" s="428"/>
      <c r="G851" s="428"/>
      <c r="H851" s="428"/>
      <c r="I851" s="428"/>
      <c r="J851" s="428"/>
      <c r="K851" s="428"/>
      <c r="L851" s="428"/>
      <c r="M851" s="428"/>
      <c r="N851" s="428"/>
      <c r="O851" s="428"/>
      <c r="P851" s="428"/>
      <c r="Q851" s="428"/>
      <c r="S851" s="428"/>
      <c r="W851" s="428"/>
      <c r="X851" s="428"/>
    </row>
    <row r="852" spans="2:24" ht="12.75">
      <c r="B852" s="426"/>
      <c r="F852" s="428"/>
      <c r="G852" s="428"/>
      <c r="H852" s="428"/>
      <c r="I852" s="428"/>
      <c r="J852" s="428"/>
      <c r="K852" s="428"/>
      <c r="L852" s="428"/>
      <c r="M852" s="428"/>
      <c r="N852" s="428"/>
      <c r="O852" s="428"/>
      <c r="P852" s="428"/>
      <c r="Q852" s="428"/>
      <c r="S852" s="428"/>
      <c r="W852" s="428"/>
      <c r="X852" s="428"/>
    </row>
    <row r="853" spans="2:24" ht="12.75">
      <c r="B853" s="426"/>
      <c r="F853" s="428"/>
      <c r="G853" s="428"/>
      <c r="H853" s="428"/>
      <c r="I853" s="428"/>
      <c r="J853" s="428"/>
      <c r="K853" s="428"/>
      <c r="L853" s="428"/>
      <c r="M853" s="428"/>
      <c r="N853" s="428"/>
      <c r="O853" s="428"/>
      <c r="P853" s="428"/>
      <c r="Q853" s="428"/>
      <c r="S853" s="428"/>
      <c r="W853" s="428"/>
      <c r="X853" s="428"/>
    </row>
    <row r="854" spans="2:24" ht="12.75">
      <c r="B854" s="426"/>
      <c r="F854" s="428"/>
      <c r="G854" s="428"/>
      <c r="H854" s="428"/>
      <c r="I854" s="428"/>
      <c r="J854" s="428"/>
      <c r="K854" s="428"/>
      <c r="L854" s="428"/>
      <c r="M854" s="428"/>
      <c r="N854" s="428"/>
      <c r="O854" s="428"/>
      <c r="P854" s="428"/>
      <c r="Q854" s="428"/>
      <c r="S854" s="428"/>
      <c r="W854" s="428"/>
      <c r="X854" s="428"/>
    </row>
    <row r="855" spans="2:24" ht="12.75">
      <c r="B855" s="426"/>
      <c r="F855" s="428"/>
      <c r="G855" s="428"/>
      <c r="H855" s="428"/>
      <c r="I855" s="428"/>
      <c r="J855" s="428"/>
      <c r="K855" s="428"/>
      <c r="L855" s="428"/>
      <c r="M855" s="428"/>
      <c r="N855" s="428"/>
      <c r="O855" s="428"/>
      <c r="P855" s="428"/>
      <c r="Q855" s="428"/>
      <c r="S855" s="428"/>
      <c r="W855" s="428"/>
      <c r="X855" s="428"/>
    </row>
    <row r="856" spans="2:24" ht="12.75">
      <c r="B856" s="426"/>
      <c r="F856" s="428"/>
      <c r="G856" s="428"/>
      <c r="H856" s="428"/>
      <c r="I856" s="428"/>
      <c r="J856" s="428"/>
      <c r="K856" s="428"/>
      <c r="L856" s="428"/>
      <c r="M856" s="428"/>
      <c r="N856" s="428"/>
      <c r="O856" s="428"/>
      <c r="P856" s="428"/>
      <c r="Q856" s="428"/>
      <c r="S856" s="428"/>
      <c r="W856" s="428"/>
      <c r="X856" s="428"/>
    </row>
    <row r="857" spans="2:24" ht="12.75">
      <c r="B857" s="426"/>
      <c r="F857" s="428"/>
      <c r="G857" s="428"/>
      <c r="H857" s="428"/>
      <c r="I857" s="428"/>
      <c r="J857" s="428"/>
      <c r="K857" s="428"/>
      <c r="L857" s="428"/>
      <c r="M857" s="428"/>
      <c r="N857" s="428"/>
      <c r="O857" s="428"/>
      <c r="P857" s="428"/>
      <c r="Q857" s="428"/>
      <c r="S857" s="428"/>
      <c r="W857" s="428"/>
      <c r="X857" s="428"/>
    </row>
    <row r="858" spans="2:24" ht="12.75">
      <c r="B858" s="426"/>
      <c r="F858" s="428"/>
      <c r="G858" s="428"/>
      <c r="H858" s="428"/>
      <c r="I858" s="428"/>
      <c r="J858" s="428"/>
      <c r="K858" s="428"/>
      <c r="L858" s="428"/>
      <c r="M858" s="428"/>
      <c r="N858" s="428"/>
      <c r="O858" s="428"/>
      <c r="P858" s="428"/>
      <c r="Q858" s="428"/>
      <c r="S858" s="428"/>
      <c r="W858" s="428"/>
      <c r="X858" s="428"/>
    </row>
    <row r="859" spans="2:24" ht="12.75">
      <c r="B859" s="426"/>
      <c r="F859" s="428"/>
      <c r="G859" s="428"/>
      <c r="H859" s="428"/>
      <c r="I859" s="428"/>
      <c r="J859" s="428"/>
      <c r="K859" s="428"/>
      <c r="L859" s="428"/>
      <c r="M859" s="428"/>
      <c r="N859" s="428"/>
      <c r="O859" s="428"/>
      <c r="P859" s="428"/>
      <c r="Q859" s="428"/>
      <c r="S859" s="428"/>
      <c r="W859" s="428"/>
      <c r="X859" s="428"/>
    </row>
    <row r="860" spans="2:24" ht="12.75">
      <c r="B860" s="426"/>
      <c r="F860" s="428"/>
      <c r="G860" s="428"/>
      <c r="H860" s="428"/>
      <c r="I860" s="428"/>
      <c r="J860" s="428"/>
      <c r="K860" s="428"/>
      <c r="L860" s="428"/>
      <c r="M860" s="428"/>
      <c r="N860" s="428"/>
      <c r="O860" s="428"/>
      <c r="P860" s="428"/>
      <c r="Q860" s="428"/>
      <c r="S860" s="428"/>
      <c r="W860" s="428"/>
      <c r="X860" s="428"/>
    </row>
    <row r="861" spans="2:24" ht="12.75">
      <c r="B861" s="426"/>
      <c r="F861" s="428"/>
      <c r="G861" s="428"/>
      <c r="H861" s="428"/>
      <c r="I861" s="428"/>
      <c r="J861" s="428"/>
      <c r="K861" s="428"/>
      <c r="L861" s="428"/>
      <c r="M861" s="428"/>
      <c r="N861" s="428"/>
      <c r="O861" s="428"/>
      <c r="P861" s="428"/>
      <c r="Q861" s="428"/>
      <c r="S861" s="428"/>
      <c r="W861" s="428"/>
      <c r="X861" s="428"/>
    </row>
    <row r="862" spans="2:24" ht="12.75">
      <c r="B862" s="426"/>
      <c r="F862" s="428"/>
      <c r="G862" s="428"/>
      <c r="H862" s="428"/>
      <c r="I862" s="428"/>
      <c r="J862" s="428"/>
      <c r="K862" s="428"/>
      <c r="L862" s="428"/>
      <c r="M862" s="428"/>
      <c r="N862" s="428"/>
      <c r="O862" s="428"/>
      <c r="P862" s="428"/>
      <c r="Q862" s="428"/>
      <c r="S862" s="428"/>
      <c r="W862" s="428"/>
      <c r="X862" s="428"/>
    </row>
    <row r="863" spans="2:24" ht="12.75">
      <c r="B863" s="426"/>
      <c r="F863" s="428"/>
      <c r="G863" s="428"/>
      <c r="H863" s="428"/>
      <c r="I863" s="428"/>
      <c r="J863" s="428"/>
      <c r="K863" s="428"/>
      <c r="L863" s="428"/>
      <c r="M863" s="428"/>
      <c r="N863" s="428"/>
      <c r="O863" s="428"/>
      <c r="P863" s="428"/>
      <c r="Q863" s="428"/>
      <c r="S863" s="428"/>
      <c r="W863" s="428"/>
      <c r="X863" s="428"/>
    </row>
    <row r="864" spans="2:24" ht="12.75">
      <c r="B864" s="426"/>
      <c r="F864" s="428"/>
      <c r="G864" s="428"/>
      <c r="H864" s="428"/>
      <c r="I864" s="428"/>
      <c r="J864" s="428"/>
      <c r="K864" s="428"/>
      <c r="L864" s="428"/>
      <c r="M864" s="428"/>
      <c r="N864" s="428"/>
      <c r="O864" s="428"/>
      <c r="P864" s="428"/>
      <c r="Q864" s="428"/>
      <c r="S864" s="428"/>
      <c r="W864" s="428"/>
      <c r="X864" s="428"/>
    </row>
    <row r="865" spans="2:24" ht="12.75">
      <c r="B865" s="426"/>
      <c r="F865" s="428"/>
      <c r="G865" s="428"/>
      <c r="H865" s="428"/>
      <c r="I865" s="428"/>
      <c r="J865" s="428"/>
      <c r="K865" s="428"/>
      <c r="L865" s="428"/>
      <c r="M865" s="428"/>
      <c r="N865" s="428"/>
      <c r="O865" s="428"/>
      <c r="P865" s="428"/>
      <c r="Q865" s="428"/>
      <c r="S865" s="428"/>
      <c r="W865" s="428"/>
      <c r="X865" s="428"/>
    </row>
    <row r="866" spans="2:24" ht="12.75">
      <c r="B866" s="426"/>
      <c r="F866" s="428"/>
      <c r="G866" s="428"/>
      <c r="H866" s="428"/>
      <c r="I866" s="428"/>
      <c r="J866" s="428"/>
      <c r="K866" s="428"/>
      <c r="L866" s="428"/>
      <c r="M866" s="428"/>
      <c r="N866" s="428"/>
      <c r="O866" s="428"/>
      <c r="P866" s="428"/>
      <c r="Q866" s="428"/>
      <c r="S866" s="428"/>
      <c r="W866" s="428"/>
      <c r="X866" s="428"/>
    </row>
    <row r="867" spans="2:24" ht="12.75">
      <c r="B867" s="426"/>
      <c r="F867" s="428"/>
      <c r="G867" s="428"/>
      <c r="H867" s="428"/>
      <c r="I867" s="428"/>
      <c r="J867" s="428"/>
      <c r="K867" s="428"/>
      <c r="L867" s="428"/>
      <c r="M867" s="428"/>
      <c r="N867" s="428"/>
      <c r="O867" s="428"/>
      <c r="P867" s="428"/>
      <c r="Q867" s="428"/>
      <c r="S867" s="428"/>
      <c r="W867" s="428"/>
      <c r="X867" s="428"/>
    </row>
    <row r="868" spans="2:24" ht="12.75">
      <c r="B868" s="426"/>
      <c r="F868" s="428"/>
      <c r="G868" s="428"/>
      <c r="H868" s="428"/>
      <c r="I868" s="428"/>
      <c r="J868" s="428"/>
      <c r="K868" s="428"/>
      <c r="L868" s="428"/>
      <c r="M868" s="428"/>
      <c r="N868" s="428"/>
      <c r="O868" s="428"/>
      <c r="P868" s="428"/>
      <c r="Q868" s="428"/>
      <c r="S868" s="428"/>
      <c r="W868" s="428"/>
      <c r="X868" s="428"/>
    </row>
    <row r="869" spans="2:24" ht="12.75">
      <c r="B869" s="426"/>
      <c r="F869" s="428"/>
      <c r="G869" s="428"/>
      <c r="H869" s="428"/>
      <c r="I869" s="428"/>
      <c r="J869" s="428"/>
      <c r="K869" s="428"/>
      <c r="L869" s="428"/>
      <c r="M869" s="428"/>
      <c r="N869" s="428"/>
      <c r="O869" s="428"/>
      <c r="P869" s="428"/>
      <c r="Q869" s="428"/>
      <c r="S869" s="428"/>
      <c r="W869" s="428"/>
      <c r="X869" s="428"/>
    </row>
    <row r="870" spans="2:24" ht="12.75">
      <c r="B870" s="426"/>
      <c r="F870" s="428"/>
      <c r="G870" s="428"/>
      <c r="H870" s="428"/>
      <c r="I870" s="428"/>
      <c r="J870" s="428"/>
      <c r="K870" s="428"/>
      <c r="L870" s="428"/>
      <c r="M870" s="428"/>
      <c r="N870" s="428"/>
      <c r="O870" s="428"/>
      <c r="P870" s="428"/>
      <c r="Q870" s="428"/>
      <c r="S870" s="428"/>
      <c r="W870" s="428"/>
      <c r="X870" s="428"/>
    </row>
    <row r="871" spans="2:24" ht="12.75">
      <c r="B871" s="426"/>
      <c r="F871" s="428"/>
      <c r="G871" s="428"/>
      <c r="H871" s="428"/>
      <c r="I871" s="428"/>
      <c r="J871" s="428"/>
      <c r="K871" s="428"/>
      <c r="L871" s="428"/>
      <c r="M871" s="428"/>
      <c r="N871" s="428"/>
      <c r="O871" s="428"/>
      <c r="P871" s="428"/>
      <c r="Q871" s="428"/>
      <c r="S871" s="428"/>
      <c r="W871" s="428"/>
      <c r="X871" s="428"/>
    </row>
    <row r="872" spans="2:24" ht="12.75">
      <c r="B872" s="426"/>
      <c r="F872" s="428"/>
      <c r="G872" s="428"/>
      <c r="H872" s="428"/>
      <c r="I872" s="428"/>
      <c r="J872" s="428"/>
      <c r="K872" s="428"/>
      <c r="L872" s="428"/>
      <c r="M872" s="428"/>
      <c r="N872" s="428"/>
      <c r="O872" s="428"/>
      <c r="P872" s="428"/>
      <c r="Q872" s="428"/>
      <c r="S872" s="428"/>
      <c r="W872" s="428"/>
      <c r="X872" s="428"/>
    </row>
    <row r="873" spans="2:24" ht="12.75">
      <c r="B873" s="426"/>
      <c r="F873" s="428"/>
      <c r="G873" s="428"/>
      <c r="H873" s="428"/>
      <c r="I873" s="428"/>
      <c r="J873" s="428"/>
      <c r="K873" s="428"/>
      <c r="L873" s="428"/>
      <c r="M873" s="428"/>
      <c r="N873" s="428"/>
      <c r="O873" s="428"/>
      <c r="P873" s="428"/>
      <c r="Q873" s="428"/>
      <c r="S873" s="428"/>
      <c r="W873" s="428"/>
      <c r="X873" s="428"/>
    </row>
    <row r="874" spans="2:24" ht="12.75">
      <c r="B874" s="426"/>
      <c r="F874" s="428"/>
      <c r="G874" s="428"/>
      <c r="H874" s="428"/>
      <c r="I874" s="428"/>
      <c r="J874" s="428"/>
      <c r="K874" s="428"/>
      <c r="L874" s="428"/>
      <c r="M874" s="428"/>
      <c r="N874" s="428"/>
      <c r="O874" s="428"/>
      <c r="P874" s="428"/>
      <c r="Q874" s="428"/>
      <c r="S874" s="428"/>
      <c r="W874" s="428"/>
      <c r="X874" s="428"/>
    </row>
    <row r="875" spans="2:24" ht="12.75">
      <c r="B875" s="426"/>
      <c r="F875" s="428"/>
      <c r="G875" s="428"/>
      <c r="H875" s="428"/>
      <c r="I875" s="428"/>
      <c r="J875" s="428"/>
      <c r="K875" s="428"/>
      <c r="L875" s="428"/>
      <c r="M875" s="428"/>
      <c r="N875" s="428"/>
      <c r="O875" s="428"/>
      <c r="P875" s="428"/>
      <c r="Q875" s="428"/>
      <c r="S875" s="428"/>
      <c r="W875" s="428"/>
      <c r="X875" s="428"/>
    </row>
    <row r="876" spans="2:24" ht="12.75">
      <c r="B876" s="426"/>
      <c r="F876" s="428"/>
      <c r="G876" s="428"/>
      <c r="H876" s="428"/>
      <c r="I876" s="428"/>
      <c r="J876" s="428"/>
      <c r="K876" s="428"/>
      <c r="L876" s="428"/>
      <c r="M876" s="428"/>
      <c r="N876" s="428"/>
      <c r="O876" s="428"/>
      <c r="P876" s="428"/>
      <c r="Q876" s="428"/>
      <c r="S876" s="428"/>
      <c r="W876" s="428"/>
      <c r="X876" s="428"/>
    </row>
    <row r="877" spans="2:24" ht="12.75">
      <c r="B877" s="426"/>
      <c r="F877" s="428"/>
      <c r="G877" s="428"/>
      <c r="H877" s="428"/>
      <c r="I877" s="428"/>
      <c r="J877" s="428"/>
      <c r="K877" s="428"/>
      <c r="L877" s="428"/>
      <c r="M877" s="428"/>
      <c r="N877" s="428"/>
      <c r="O877" s="428"/>
      <c r="P877" s="428"/>
      <c r="Q877" s="428"/>
      <c r="S877" s="428"/>
      <c r="W877" s="428"/>
      <c r="X877" s="428"/>
    </row>
    <row r="878" spans="2:24" ht="12.75">
      <c r="B878" s="426"/>
      <c r="F878" s="428"/>
      <c r="G878" s="428"/>
      <c r="H878" s="428"/>
      <c r="I878" s="428"/>
      <c r="J878" s="428"/>
      <c r="K878" s="428"/>
      <c r="L878" s="428"/>
      <c r="M878" s="428"/>
      <c r="N878" s="428"/>
      <c r="O878" s="428"/>
      <c r="P878" s="428"/>
      <c r="Q878" s="428"/>
      <c r="S878" s="428"/>
      <c r="W878" s="428"/>
      <c r="X878" s="428"/>
    </row>
    <row r="879" spans="2:24" ht="12.75">
      <c r="B879" s="426"/>
      <c r="F879" s="428"/>
      <c r="G879" s="428"/>
      <c r="H879" s="428"/>
      <c r="I879" s="428"/>
      <c r="J879" s="428"/>
      <c r="K879" s="428"/>
      <c r="L879" s="428"/>
      <c r="M879" s="428"/>
      <c r="N879" s="428"/>
      <c r="O879" s="428"/>
      <c r="P879" s="428"/>
      <c r="Q879" s="428"/>
      <c r="S879" s="428"/>
      <c r="W879" s="428"/>
      <c r="X879" s="428"/>
    </row>
    <row r="880" spans="2:24" ht="12.75">
      <c r="B880" s="426"/>
      <c r="F880" s="428"/>
      <c r="G880" s="428"/>
      <c r="H880" s="428"/>
      <c r="I880" s="428"/>
      <c r="J880" s="428"/>
      <c r="K880" s="428"/>
      <c r="L880" s="428"/>
      <c r="M880" s="428"/>
      <c r="N880" s="428"/>
      <c r="O880" s="428"/>
      <c r="P880" s="428"/>
      <c r="Q880" s="428"/>
      <c r="S880" s="428"/>
      <c r="W880" s="428"/>
      <c r="X880" s="428"/>
    </row>
    <row r="881" spans="2:24" ht="12.75">
      <c r="B881" s="426"/>
      <c r="F881" s="428"/>
      <c r="G881" s="428"/>
      <c r="H881" s="428"/>
      <c r="I881" s="428"/>
      <c r="J881" s="428"/>
      <c r="K881" s="428"/>
      <c r="L881" s="428"/>
      <c r="M881" s="428"/>
      <c r="N881" s="428"/>
      <c r="O881" s="428"/>
      <c r="P881" s="428"/>
      <c r="Q881" s="428"/>
      <c r="S881" s="428"/>
      <c r="W881" s="428"/>
      <c r="X881" s="428"/>
    </row>
    <row r="882" spans="2:24" ht="12.75">
      <c r="B882" s="426"/>
      <c r="F882" s="428"/>
      <c r="G882" s="428"/>
      <c r="H882" s="428"/>
      <c r="I882" s="428"/>
      <c r="J882" s="428"/>
      <c r="K882" s="428"/>
      <c r="L882" s="428"/>
      <c r="M882" s="428"/>
      <c r="N882" s="428"/>
      <c r="O882" s="428"/>
      <c r="P882" s="428"/>
      <c r="Q882" s="428"/>
      <c r="S882" s="428"/>
      <c r="W882" s="428"/>
      <c r="X882" s="428"/>
    </row>
    <row r="883" spans="2:24" ht="12.75">
      <c r="B883" s="426"/>
      <c r="F883" s="428"/>
      <c r="G883" s="428"/>
      <c r="H883" s="428"/>
      <c r="I883" s="428"/>
      <c r="J883" s="428"/>
      <c r="K883" s="428"/>
      <c r="L883" s="428"/>
      <c r="M883" s="428"/>
      <c r="N883" s="428"/>
      <c r="O883" s="428"/>
      <c r="P883" s="428"/>
      <c r="Q883" s="428"/>
      <c r="S883" s="428"/>
      <c r="W883" s="428"/>
      <c r="X883" s="428"/>
    </row>
    <row r="884" spans="2:24" ht="12.75">
      <c r="B884" s="426"/>
      <c r="F884" s="428"/>
      <c r="G884" s="428"/>
      <c r="H884" s="428"/>
      <c r="I884" s="428"/>
      <c r="J884" s="428"/>
      <c r="K884" s="428"/>
      <c r="L884" s="428"/>
      <c r="M884" s="428"/>
      <c r="N884" s="428"/>
      <c r="O884" s="428"/>
      <c r="P884" s="428"/>
      <c r="Q884" s="428"/>
      <c r="S884" s="428"/>
      <c r="W884" s="428"/>
      <c r="X884" s="428"/>
    </row>
    <row r="885" spans="2:24" ht="12.75">
      <c r="B885" s="426"/>
      <c r="F885" s="428"/>
      <c r="G885" s="428"/>
      <c r="H885" s="428"/>
      <c r="I885" s="428"/>
      <c r="J885" s="428"/>
      <c r="K885" s="428"/>
      <c r="L885" s="428"/>
      <c r="M885" s="428"/>
      <c r="N885" s="428"/>
      <c r="O885" s="428"/>
      <c r="P885" s="428"/>
      <c r="Q885" s="428"/>
      <c r="S885" s="428"/>
      <c r="W885" s="428"/>
      <c r="X885" s="428"/>
    </row>
    <row r="886" spans="2:24" ht="12.75">
      <c r="B886" s="426"/>
      <c r="F886" s="428"/>
      <c r="G886" s="428"/>
      <c r="H886" s="428"/>
      <c r="I886" s="428"/>
      <c r="J886" s="428"/>
      <c r="K886" s="428"/>
      <c r="L886" s="428"/>
      <c r="M886" s="428"/>
      <c r="N886" s="428"/>
      <c r="O886" s="428"/>
      <c r="P886" s="428"/>
      <c r="Q886" s="428"/>
      <c r="S886" s="428"/>
      <c r="W886" s="428"/>
      <c r="X886" s="428"/>
    </row>
    <row r="887" spans="2:24" ht="12.75">
      <c r="B887" s="426"/>
      <c r="F887" s="428"/>
      <c r="G887" s="428"/>
      <c r="H887" s="428"/>
      <c r="I887" s="428"/>
      <c r="J887" s="428"/>
      <c r="K887" s="428"/>
      <c r="L887" s="428"/>
      <c r="M887" s="428"/>
      <c r="N887" s="428"/>
      <c r="O887" s="428"/>
      <c r="P887" s="428"/>
      <c r="Q887" s="428"/>
      <c r="S887" s="428"/>
      <c r="W887" s="428"/>
      <c r="X887" s="428"/>
    </row>
    <row r="888" spans="2:24" ht="12.75">
      <c r="B888" s="426"/>
      <c r="F888" s="428"/>
      <c r="G888" s="428"/>
      <c r="H888" s="428"/>
      <c r="I888" s="428"/>
      <c r="J888" s="428"/>
      <c r="K888" s="428"/>
      <c r="L888" s="428"/>
      <c r="M888" s="428"/>
      <c r="N888" s="428"/>
      <c r="O888" s="428"/>
      <c r="P888" s="428"/>
      <c r="Q888" s="428"/>
      <c r="S888" s="428"/>
      <c r="W888" s="428"/>
      <c r="X888" s="428"/>
    </row>
    <row r="889" spans="2:24" ht="12.75">
      <c r="B889" s="426"/>
      <c r="F889" s="428"/>
      <c r="G889" s="428"/>
      <c r="H889" s="428"/>
      <c r="I889" s="428"/>
      <c r="J889" s="428"/>
      <c r="K889" s="428"/>
      <c r="L889" s="428"/>
      <c r="M889" s="428"/>
      <c r="N889" s="428"/>
      <c r="O889" s="428"/>
      <c r="P889" s="428"/>
      <c r="Q889" s="428"/>
      <c r="S889" s="428"/>
      <c r="W889" s="428"/>
      <c r="X889" s="428"/>
    </row>
    <row r="890" spans="2:24" ht="12.75">
      <c r="B890" s="426"/>
      <c r="F890" s="428"/>
      <c r="G890" s="428"/>
      <c r="H890" s="428"/>
      <c r="I890" s="428"/>
      <c r="J890" s="428"/>
      <c r="K890" s="428"/>
      <c r="L890" s="428"/>
      <c r="M890" s="428"/>
      <c r="N890" s="428"/>
      <c r="O890" s="428"/>
      <c r="P890" s="428"/>
      <c r="Q890" s="428"/>
      <c r="S890" s="428"/>
      <c r="W890" s="428"/>
      <c r="X890" s="428"/>
    </row>
    <row r="891" spans="2:24" ht="12.75">
      <c r="B891" s="426"/>
      <c r="F891" s="428"/>
      <c r="G891" s="428"/>
      <c r="H891" s="428"/>
      <c r="I891" s="428"/>
      <c r="J891" s="428"/>
      <c r="K891" s="428"/>
      <c r="L891" s="428"/>
      <c r="M891" s="428"/>
      <c r="N891" s="428"/>
      <c r="O891" s="428"/>
      <c r="P891" s="428"/>
      <c r="Q891" s="428"/>
      <c r="S891" s="428"/>
      <c r="W891" s="428"/>
      <c r="X891" s="428"/>
    </row>
    <row r="892" spans="2:24" ht="12.75">
      <c r="B892" s="426"/>
      <c r="F892" s="428"/>
      <c r="G892" s="428"/>
      <c r="H892" s="428"/>
      <c r="I892" s="428"/>
      <c r="J892" s="428"/>
      <c r="K892" s="428"/>
      <c r="L892" s="428"/>
      <c r="M892" s="428"/>
      <c r="N892" s="428"/>
      <c r="O892" s="428"/>
      <c r="P892" s="428"/>
      <c r="Q892" s="428"/>
      <c r="S892" s="428"/>
      <c r="W892" s="428"/>
      <c r="X892" s="428"/>
    </row>
    <row r="893" spans="2:24" ht="12.75">
      <c r="B893" s="426"/>
      <c r="F893" s="428"/>
      <c r="G893" s="428"/>
      <c r="H893" s="428"/>
      <c r="I893" s="428"/>
      <c r="J893" s="428"/>
      <c r="K893" s="428"/>
      <c r="L893" s="428"/>
      <c r="M893" s="428"/>
      <c r="N893" s="428"/>
      <c r="O893" s="428"/>
      <c r="P893" s="428"/>
      <c r="Q893" s="428"/>
      <c r="S893" s="428"/>
      <c r="W893" s="428"/>
      <c r="X893" s="428"/>
    </row>
    <row r="894" spans="2:24" ht="12.75">
      <c r="B894" s="426"/>
      <c r="F894" s="428"/>
      <c r="G894" s="428"/>
      <c r="H894" s="428"/>
      <c r="I894" s="428"/>
      <c r="J894" s="428"/>
      <c r="K894" s="428"/>
      <c r="L894" s="428"/>
      <c r="M894" s="428"/>
      <c r="N894" s="428"/>
      <c r="O894" s="428"/>
      <c r="P894" s="428"/>
      <c r="Q894" s="428"/>
      <c r="S894" s="428"/>
      <c r="W894" s="428"/>
      <c r="X894" s="428"/>
    </row>
    <row r="895" spans="2:24" ht="12.75">
      <c r="B895" s="426"/>
      <c r="F895" s="428"/>
      <c r="G895" s="428"/>
      <c r="H895" s="428"/>
      <c r="I895" s="428"/>
      <c r="J895" s="428"/>
      <c r="K895" s="428"/>
      <c r="L895" s="428"/>
      <c r="M895" s="428"/>
      <c r="N895" s="428"/>
      <c r="O895" s="428"/>
      <c r="P895" s="428"/>
      <c r="Q895" s="428"/>
      <c r="S895" s="428"/>
      <c r="W895" s="428"/>
      <c r="X895" s="428"/>
    </row>
    <row r="896" spans="2:24" ht="12.75">
      <c r="B896" s="426"/>
      <c r="F896" s="428"/>
      <c r="G896" s="428"/>
      <c r="H896" s="428"/>
      <c r="I896" s="428"/>
      <c r="J896" s="428"/>
      <c r="K896" s="428"/>
      <c r="L896" s="428"/>
      <c r="M896" s="428"/>
      <c r="N896" s="428"/>
      <c r="O896" s="428"/>
      <c r="P896" s="428"/>
      <c r="Q896" s="428"/>
      <c r="S896" s="428"/>
      <c r="W896" s="428"/>
      <c r="X896" s="428"/>
    </row>
    <row r="897" spans="2:24" ht="12.75">
      <c r="B897" s="426"/>
      <c r="F897" s="428"/>
      <c r="G897" s="428"/>
      <c r="H897" s="428"/>
      <c r="I897" s="428"/>
      <c r="J897" s="428"/>
      <c r="K897" s="428"/>
      <c r="L897" s="428"/>
      <c r="M897" s="428"/>
      <c r="N897" s="428"/>
      <c r="O897" s="428"/>
      <c r="P897" s="428"/>
      <c r="Q897" s="428"/>
      <c r="S897" s="428"/>
      <c r="W897" s="428"/>
      <c r="X897" s="428"/>
    </row>
    <row r="898" spans="2:24" ht="12.75">
      <c r="B898" s="426"/>
      <c r="F898" s="428"/>
      <c r="G898" s="428"/>
      <c r="H898" s="428"/>
      <c r="I898" s="428"/>
      <c r="J898" s="428"/>
      <c r="K898" s="428"/>
      <c r="L898" s="428"/>
      <c r="M898" s="428"/>
      <c r="N898" s="428"/>
      <c r="O898" s="428"/>
      <c r="P898" s="428"/>
      <c r="Q898" s="428"/>
      <c r="S898" s="428"/>
      <c r="W898" s="428"/>
      <c r="X898" s="428"/>
    </row>
    <row r="899" spans="2:24" ht="12.75">
      <c r="B899" s="426"/>
      <c r="F899" s="428"/>
      <c r="G899" s="428"/>
      <c r="H899" s="428"/>
      <c r="I899" s="428"/>
      <c r="J899" s="428"/>
      <c r="K899" s="428"/>
      <c r="L899" s="428"/>
      <c r="M899" s="428"/>
      <c r="N899" s="428"/>
      <c r="O899" s="428"/>
      <c r="P899" s="428"/>
      <c r="Q899" s="428"/>
      <c r="S899" s="428"/>
      <c r="W899" s="428"/>
      <c r="X899" s="428"/>
    </row>
    <row r="900" spans="2:24" ht="12.75">
      <c r="B900" s="426"/>
      <c r="F900" s="428"/>
      <c r="G900" s="428"/>
      <c r="H900" s="428"/>
      <c r="I900" s="428"/>
      <c r="J900" s="428"/>
      <c r="K900" s="428"/>
      <c r="L900" s="428"/>
      <c r="M900" s="428"/>
      <c r="N900" s="428"/>
      <c r="O900" s="428"/>
      <c r="P900" s="428"/>
      <c r="Q900" s="428"/>
      <c r="S900" s="428"/>
      <c r="W900" s="428"/>
      <c r="X900" s="428"/>
    </row>
    <row r="901" spans="2:24" ht="12.75">
      <c r="B901" s="426"/>
      <c r="F901" s="428"/>
      <c r="G901" s="428"/>
      <c r="H901" s="428"/>
      <c r="I901" s="428"/>
      <c r="J901" s="428"/>
      <c r="K901" s="428"/>
      <c r="L901" s="428"/>
      <c r="M901" s="428"/>
      <c r="N901" s="428"/>
      <c r="O901" s="428"/>
      <c r="P901" s="428"/>
      <c r="Q901" s="428"/>
      <c r="S901" s="428"/>
      <c r="W901" s="428"/>
      <c r="X901" s="428"/>
    </row>
    <row r="902" spans="2:24" ht="12.75">
      <c r="B902" s="426"/>
      <c r="F902" s="428"/>
      <c r="G902" s="428"/>
      <c r="H902" s="428"/>
      <c r="I902" s="428"/>
      <c r="J902" s="428"/>
      <c r="K902" s="428"/>
      <c r="L902" s="428"/>
      <c r="M902" s="428"/>
      <c r="N902" s="428"/>
      <c r="O902" s="428"/>
      <c r="P902" s="428"/>
      <c r="Q902" s="428"/>
      <c r="S902" s="428"/>
      <c r="W902" s="428"/>
      <c r="X902" s="428"/>
    </row>
    <row r="903" spans="2:24" ht="12.75">
      <c r="B903" s="426"/>
      <c r="F903" s="428"/>
      <c r="G903" s="428"/>
      <c r="H903" s="428"/>
      <c r="I903" s="428"/>
      <c r="J903" s="428"/>
      <c r="K903" s="428"/>
      <c r="L903" s="428"/>
      <c r="M903" s="428"/>
      <c r="N903" s="428"/>
      <c r="O903" s="428"/>
      <c r="P903" s="428"/>
      <c r="Q903" s="428"/>
      <c r="S903" s="428"/>
      <c r="W903" s="428"/>
      <c r="X903" s="428"/>
    </row>
    <row r="904" spans="2:24" ht="12.75">
      <c r="B904" s="426"/>
      <c r="F904" s="428"/>
      <c r="G904" s="428"/>
      <c r="H904" s="428"/>
      <c r="I904" s="428"/>
      <c r="J904" s="428"/>
      <c r="K904" s="428"/>
      <c r="L904" s="428"/>
      <c r="M904" s="428"/>
      <c r="N904" s="428"/>
      <c r="O904" s="428"/>
      <c r="P904" s="428"/>
      <c r="Q904" s="428"/>
      <c r="S904" s="428"/>
      <c r="W904" s="428"/>
      <c r="X904" s="428"/>
    </row>
    <row r="905" spans="2:24" ht="12.75">
      <c r="B905" s="426"/>
      <c r="F905" s="428"/>
      <c r="G905" s="428"/>
      <c r="H905" s="428"/>
      <c r="I905" s="428"/>
      <c r="J905" s="428"/>
      <c r="K905" s="428"/>
      <c r="L905" s="428"/>
      <c r="M905" s="428"/>
      <c r="N905" s="428"/>
      <c r="O905" s="428"/>
      <c r="P905" s="428"/>
      <c r="Q905" s="428"/>
      <c r="S905" s="428"/>
      <c r="W905" s="428"/>
      <c r="X905" s="428"/>
    </row>
    <row r="906" spans="2:24" ht="12.75">
      <c r="B906" s="426"/>
      <c r="F906" s="428"/>
      <c r="G906" s="428"/>
      <c r="H906" s="428"/>
      <c r="I906" s="428"/>
      <c r="J906" s="428"/>
      <c r="K906" s="428"/>
      <c r="L906" s="428"/>
      <c r="M906" s="428"/>
      <c r="N906" s="428"/>
      <c r="O906" s="428"/>
      <c r="P906" s="428"/>
      <c r="Q906" s="428"/>
      <c r="S906" s="428"/>
      <c r="W906" s="428"/>
      <c r="X906" s="428"/>
    </row>
    <row r="907" spans="2:24" ht="12.75">
      <c r="B907" s="426"/>
      <c r="F907" s="428"/>
      <c r="G907" s="428"/>
      <c r="H907" s="428"/>
      <c r="I907" s="428"/>
      <c r="J907" s="428"/>
      <c r="K907" s="428"/>
      <c r="L907" s="428"/>
      <c r="M907" s="428"/>
      <c r="N907" s="428"/>
      <c r="O907" s="428"/>
      <c r="P907" s="428"/>
      <c r="Q907" s="428"/>
      <c r="S907" s="428"/>
      <c r="W907" s="428"/>
      <c r="X907" s="428"/>
    </row>
    <row r="908" spans="2:24" ht="12.75">
      <c r="B908" s="426"/>
      <c r="F908" s="428"/>
      <c r="G908" s="428"/>
      <c r="H908" s="428"/>
      <c r="I908" s="428"/>
      <c r="J908" s="428"/>
      <c r="K908" s="428"/>
      <c r="L908" s="428"/>
      <c r="M908" s="428"/>
      <c r="N908" s="428"/>
      <c r="O908" s="428"/>
      <c r="P908" s="428"/>
      <c r="Q908" s="428"/>
      <c r="S908" s="428"/>
      <c r="W908" s="428"/>
      <c r="X908" s="428"/>
    </row>
    <row r="909" spans="2:24" ht="12.75">
      <c r="B909" s="426"/>
      <c r="F909" s="428"/>
      <c r="G909" s="428"/>
      <c r="H909" s="428"/>
      <c r="I909" s="428"/>
      <c r="J909" s="428"/>
      <c r="K909" s="428"/>
      <c r="L909" s="428"/>
      <c r="M909" s="428"/>
      <c r="N909" s="428"/>
      <c r="O909" s="428"/>
      <c r="P909" s="428"/>
      <c r="Q909" s="428"/>
      <c r="S909" s="428"/>
      <c r="W909" s="428"/>
      <c r="X909" s="428"/>
    </row>
    <row r="910" spans="2:24" ht="12.75">
      <c r="B910" s="426"/>
      <c r="F910" s="428"/>
      <c r="G910" s="428"/>
      <c r="H910" s="428"/>
      <c r="I910" s="428"/>
      <c r="J910" s="428"/>
      <c r="K910" s="428"/>
      <c r="L910" s="428"/>
      <c r="M910" s="428"/>
      <c r="N910" s="428"/>
      <c r="O910" s="428"/>
      <c r="P910" s="428"/>
      <c r="Q910" s="428"/>
      <c r="S910" s="428"/>
      <c r="W910" s="428"/>
      <c r="X910" s="428"/>
    </row>
    <row r="911" spans="2:24" ht="12.75">
      <c r="B911" s="426"/>
      <c r="F911" s="428"/>
      <c r="G911" s="428"/>
      <c r="H911" s="428"/>
      <c r="I911" s="428"/>
      <c r="J911" s="428"/>
      <c r="K911" s="428"/>
      <c r="L911" s="428"/>
      <c r="M911" s="428"/>
      <c r="N911" s="428"/>
      <c r="O911" s="428"/>
      <c r="P911" s="428"/>
      <c r="Q911" s="428"/>
      <c r="S911" s="428"/>
      <c r="W911" s="428"/>
      <c r="X911" s="428"/>
    </row>
    <row r="912" spans="2:24" ht="12.75">
      <c r="B912" s="426"/>
      <c r="F912" s="428"/>
      <c r="G912" s="428"/>
      <c r="H912" s="428"/>
      <c r="I912" s="428"/>
      <c r="J912" s="428"/>
      <c r="K912" s="428"/>
      <c r="L912" s="428"/>
      <c r="M912" s="428"/>
      <c r="N912" s="428"/>
      <c r="O912" s="428"/>
      <c r="P912" s="428"/>
      <c r="Q912" s="428"/>
      <c r="S912" s="428"/>
      <c r="W912" s="428"/>
      <c r="X912" s="428"/>
    </row>
    <row r="913" spans="2:24" ht="12.75">
      <c r="B913" s="426"/>
      <c r="F913" s="428"/>
      <c r="G913" s="428"/>
      <c r="H913" s="428"/>
      <c r="I913" s="428"/>
      <c r="J913" s="428"/>
      <c r="K913" s="428"/>
      <c r="L913" s="428"/>
      <c r="M913" s="428"/>
      <c r="N913" s="428"/>
      <c r="O913" s="428"/>
      <c r="P913" s="428"/>
      <c r="Q913" s="428"/>
      <c r="S913" s="428"/>
      <c r="W913" s="428"/>
      <c r="X913" s="428"/>
    </row>
    <row r="914" spans="2:24" ht="12.75">
      <c r="B914" s="426"/>
      <c r="F914" s="428"/>
      <c r="G914" s="428"/>
      <c r="H914" s="428"/>
      <c r="I914" s="428"/>
      <c r="J914" s="428"/>
      <c r="K914" s="428"/>
      <c r="L914" s="428"/>
      <c r="M914" s="428"/>
      <c r="N914" s="428"/>
      <c r="O914" s="428"/>
      <c r="P914" s="428"/>
      <c r="Q914" s="428"/>
      <c r="S914" s="428"/>
      <c r="W914" s="428"/>
      <c r="X914" s="428"/>
    </row>
    <row r="915" spans="2:24" ht="12.75">
      <c r="B915" s="426"/>
      <c r="F915" s="428"/>
      <c r="G915" s="428"/>
      <c r="H915" s="428"/>
      <c r="I915" s="428"/>
      <c r="J915" s="428"/>
      <c r="K915" s="428"/>
      <c r="L915" s="428"/>
      <c r="M915" s="428"/>
      <c r="N915" s="428"/>
      <c r="O915" s="428"/>
      <c r="P915" s="428"/>
      <c r="Q915" s="428"/>
      <c r="S915" s="428"/>
      <c r="W915" s="428"/>
      <c r="X915" s="428"/>
    </row>
    <row r="916" spans="2:24" ht="12.75">
      <c r="B916" s="426"/>
      <c r="F916" s="428"/>
      <c r="G916" s="428"/>
      <c r="H916" s="428"/>
      <c r="I916" s="428"/>
      <c r="J916" s="428"/>
      <c r="K916" s="428"/>
      <c r="L916" s="428"/>
      <c r="M916" s="428"/>
      <c r="N916" s="428"/>
      <c r="O916" s="428"/>
      <c r="P916" s="428"/>
      <c r="Q916" s="428"/>
      <c r="S916" s="428"/>
      <c r="W916" s="428"/>
      <c r="X916" s="428"/>
    </row>
    <row r="917" spans="2:24" ht="12.75">
      <c r="B917" s="426"/>
      <c r="F917" s="428"/>
      <c r="G917" s="428"/>
      <c r="H917" s="428"/>
      <c r="I917" s="428"/>
      <c r="J917" s="428"/>
      <c r="K917" s="428"/>
      <c r="L917" s="428"/>
      <c r="M917" s="428"/>
      <c r="N917" s="428"/>
      <c r="O917" s="428"/>
      <c r="P917" s="428"/>
      <c r="Q917" s="428"/>
      <c r="S917" s="428"/>
      <c r="W917" s="428"/>
      <c r="X917" s="428"/>
    </row>
    <row r="918" spans="2:24" ht="12.75">
      <c r="B918" s="426"/>
      <c r="F918" s="428"/>
      <c r="G918" s="428"/>
      <c r="H918" s="428"/>
      <c r="I918" s="428"/>
      <c r="J918" s="428"/>
      <c r="K918" s="428"/>
      <c r="L918" s="428"/>
      <c r="M918" s="428"/>
      <c r="N918" s="428"/>
      <c r="O918" s="428"/>
      <c r="P918" s="428"/>
      <c r="Q918" s="428"/>
      <c r="S918" s="428"/>
      <c r="W918" s="428"/>
      <c r="X918" s="428"/>
    </row>
    <row r="919" spans="2:24" ht="12.75">
      <c r="B919" s="426"/>
      <c r="F919" s="428"/>
      <c r="G919" s="428"/>
      <c r="H919" s="428"/>
      <c r="I919" s="428"/>
      <c r="J919" s="428"/>
      <c r="K919" s="428"/>
      <c r="L919" s="428"/>
      <c r="M919" s="428"/>
      <c r="N919" s="428"/>
      <c r="O919" s="428"/>
      <c r="P919" s="428"/>
      <c r="Q919" s="428"/>
      <c r="S919" s="428"/>
      <c r="W919" s="428"/>
      <c r="X919" s="428"/>
    </row>
    <row r="920" spans="2:24" ht="12.75">
      <c r="B920" s="426"/>
      <c r="F920" s="428"/>
      <c r="G920" s="428"/>
      <c r="H920" s="428"/>
      <c r="I920" s="428"/>
      <c r="J920" s="428"/>
      <c r="K920" s="428"/>
      <c r="L920" s="428"/>
      <c r="M920" s="428"/>
      <c r="N920" s="428"/>
      <c r="O920" s="428"/>
      <c r="P920" s="428"/>
      <c r="Q920" s="428"/>
      <c r="S920" s="428"/>
      <c r="W920" s="428"/>
      <c r="X920" s="428"/>
    </row>
    <row r="921" spans="2:24" ht="12.75">
      <c r="B921" s="426"/>
      <c r="F921" s="428"/>
      <c r="G921" s="428"/>
      <c r="H921" s="428"/>
      <c r="I921" s="428"/>
      <c r="J921" s="428"/>
      <c r="K921" s="428"/>
      <c r="L921" s="428"/>
      <c r="M921" s="428"/>
      <c r="N921" s="428"/>
      <c r="O921" s="428"/>
      <c r="P921" s="428"/>
      <c r="Q921" s="428"/>
      <c r="S921" s="428"/>
      <c r="W921" s="428"/>
      <c r="X921" s="428"/>
    </row>
    <row r="922" spans="2:24" ht="12.75">
      <c r="B922" s="426"/>
      <c r="F922" s="428"/>
      <c r="G922" s="428"/>
      <c r="H922" s="428"/>
      <c r="I922" s="428"/>
      <c r="J922" s="428"/>
      <c r="K922" s="428"/>
      <c r="L922" s="428"/>
      <c r="M922" s="428"/>
      <c r="N922" s="428"/>
      <c r="O922" s="428"/>
      <c r="P922" s="428"/>
      <c r="Q922" s="428"/>
      <c r="S922" s="428"/>
      <c r="W922" s="428"/>
      <c r="X922" s="428"/>
    </row>
    <row r="923" spans="2:24" ht="12.75">
      <c r="B923" s="426"/>
      <c r="F923" s="428"/>
      <c r="G923" s="428"/>
      <c r="H923" s="428"/>
      <c r="I923" s="428"/>
      <c r="J923" s="428"/>
      <c r="K923" s="428"/>
      <c r="L923" s="428"/>
      <c r="M923" s="428"/>
      <c r="N923" s="428"/>
      <c r="O923" s="428"/>
      <c r="P923" s="428"/>
      <c r="Q923" s="428"/>
      <c r="S923" s="428"/>
      <c r="W923" s="428"/>
      <c r="X923" s="428"/>
    </row>
    <row r="924" spans="2:24" ht="12.75">
      <c r="B924" s="426"/>
      <c r="F924" s="428"/>
      <c r="G924" s="428"/>
      <c r="H924" s="428"/>
      <c r="I924" s="428"/>
      <c r="J924" s="428"/>
      <c r="K924" s="428"/>
      <c r="L924" s="428"/>
      <c r="M924" s="428"/>
      <c r="N924" s="428"/>
      <c r="O924" s="428"/>
      <c r="P924" s="428"/>
      <c r="Q924" s="428"/>
      <c r="S924" s="428"/>
      <c r="W924" s="428"/>
      <c r="X924" s="428"/>
    </row>
    <row r="925" spans="2:24" ht="12.75">
      <c r="B925" s="426"/>
      <c r="F925" s="428"/>
      <c r="G925" s="428"/>
      <c r="H925" s="428"/>
      <c r="I925" s="428"/>
      <c r="J925" s="428"/>
      <c r="K925" s="428"/>
      <c r="L925" s="428"/>
      <c r="M925" s="428"/>
      <c r="N925" s="428"/>
      <c r="O925" s="428"/>
      <c r="P925" s="428"/>
      <c r="Q925" s="428"/>
      <c r="S925" s="428"/>
      <c r="W925" s="428"/>
      <c r="X925" s="428"/>
    </row>
    <row r="926" spans="2:24" ht="12.75">
      <c r="B926" s="426"/>
      <c r="F926" s="428"/>
      <c r="G926" s="428"/>
      <c r="H926" s="428"/>
      <c r="I926" s="428"/>
      <c r="J926" s="428"/>
      <c r="K926" s="428"/>
      <c r="L926" s="428"/>
      <c r="M926" s="428"/>
      <c r="N926" s="428"/>
      <c r="O926" s="428"/>
      <c r="P926" s="428"/>
      <c r="Q926" s="428"/>
      <c r="S926" s="428"/>
      <c r="W926" s="428"/>
      <c r="X926" s="428"/>
    </row>
    <row r="927" spans="2:24" ht="12.75">
      <c r="B927" s="426"/>
      <c r="F927" s="428"/>
      <c r="G927" s="428"/>
      <c r="H927" s="428"/>
      <c r="I927" s="428"/>
      <c r="J927" s="428"/>
      <c r="K927" s="428"/>
      <c r="L927" s="428"/>
      <c r="M927" s="428"/>
      <c r="N927" s="428"/>
      <c r="O927" s="428"/>
      <c r="P927" s="428"/>
      <c r="Q927" s="428"/>
      <c r="S927" s="428"/>
      <c r="W927" s="428"/>
      <c r="X927" s="428"/>
    </row>
    <row r="928" spans="2:24" ht="12.75">
      <c r="B928" s="426"/>
      <c r="F928" s="428"/>
      <c r="G928" s="428"/>
      <c r="H928" s="428"/>
      <c r="I928" s="428"/>
      <c r="J928" s="428"/>
      <c r="K928" s="428"/>
      <c r="L928" s="428"/>
      <c r="M928" s="428"/>
      <c r="N928" s="428"/>
      <c r="O928" s="428"/>
      <c r="P928" s="428"/>
      <c r="Q928" s="428"/>
      <c r="S928" s="428"/>
      <c r="W928" s="428"/>
      <c r="X928" s="428"/>
    </row>
    <row r="929" spans="2:24" ht="12.75">
      <c r="B929" s="426"/>
      <c r="F929" s="428"/>
      <c r="G929" s="428"/>
      <c r="H929" s="428"/>
      <c r="I929" s="428"/>
      <c r="J929" s="428"/>
      <c r="K929" s="428"/>
      <c r="L929" s="428"/>
      <c r="M929" s="428"/>
      <c r="N929" s="428"/>
      <c r="O929" s="428"/>
      <c r="P929" s="428"/>
      <c r="Q929" s="428"/>
      <c r="S929" s="428"/>
      <c r="W929" s="428"/>
      <c r="X929" s="428"/>
    </row>
    <row r="930" spans="2:24" ht="12.75">
      <c r="B930" s="426"/>
      <c r="F930" s="428"/>
      <c r="G930" s="428"/>
      <c r="H930" s="428"/>
      <c r="I930" s="428"/>
      <c r="J930" s="428"/>
      <c r="K930" s="428"/>
      <c r="L930" s="428"/>
      <c r="M930" s="428"/>
      <c r="N930" s="428"/>
      <c r="O930" s="428"/>
      <c r="P930" s="428"/>
      <c r="Q930" s="428"/>
      <c r="S930" s="428"/>
      <c r="W930" s="428"/>
      <c r="X930" s="428"/>
    </row>
    <row r="931" spans="2:24" ht="12.75">
      <c r="B931" s="426"/>
      <c r="F931" s="428"/>
      <c r="G931" s="428"/>
      <c r="H931" s="428"/>
      <c r="I931" s="428"/>
      <c r="J931" s="428"/>
      <c r="K931" s="428"/>
      <c r="L931" s="428"/>
      <c r="M931" s="428"/>
      <c r="N931" s="428"/>
      <c r="O931" s="428"/>
      <c r="P931" s="428"/>
      <c r="Q931" s="428"/>
      <c r="S931" s="428"/>
      <c r="W931" s="428"/>
      <c r="X931" s="428"/>
    </row>
    <row r="932" spans="2:24" ht="12.75">
      <c r="B932" s="426"/>
      <c r="F932" s="428"/>
      <c r="G932" s="428"/>
      <c r="H932" s="428"/>
      <c r="I932" s="428"/>
      <c r="J932" s="428"/>
      <c r="K932" s="428"/>
      <c r="L932" s="428"/>
      <c r="M932" s="428"/>
      <c r="N932" s="428"/>
      <c r="O932" s="428"/>
      <c r="P932" s="428"/>
      <c r="Q932" s="428"/>
      <c r="S932" s="428"/>
      <c r="W932" s="428"/>
      <c r="X932" s="428"/>
    </row>
    <row r="933" spans="2:24" ht="12.75">
      <c r="B933" s="426"/>
      <c r="F933" s="428"/>
      <c r="G933" s="428"/>
      <c r="H933" s="428"/>
      <c r="I933" s="428"/>
      <c r="J933" s="428"/>
      <c r="K933" s="428"/>
      <c r="L933" s="428"/>
      <c r="M933" s="428"/>
      <c r="N933" s="428"/>
      <c r="O933" s="428"/>
      <c r="P933" s="428"/>
      <c r="Q933" s="428"/>
      <c r="S933" s="428"/>
      <c r="W933" s="428"/>
      <c r="X933" s="428"/>
    </row>
  </sheetData>
  <mergeCells count="14">
    <mergeCell ref="G69:G85"/>
    <mergeCell ref="H85:I85"/>
    <mergeCell ref="G6:I6"/>
    <mergeCell ref="G7:G25"/>
    <mergeCell ref="H23:I23"/>
    <mergeCell ref="H24:I24"/>
    <mergeCell ref="H25:I25"/>
    <mergeCell ref="G28:I28"/>
    <mergeCell ref="G29:G45"/>
    <mergeCell ref="H45:I45"/>
    <mergeCell ref="G48:I48"/>
    <mergeCell ref="G49:G65"/>
    <mergeCell ref="H65:I65"/>
    <mergeCell ref="G68:I68"/>
  </mergeCells>
  <phoneticPr fontId="86" type="noConversion"/>
  <conditionalFormatting sqref="J49:AA64">
    <cfRule type="cellIs" dxfId="14" priority="2" operator="lessThanOrEqual">
      <formula>0</formula>
    </cfRule>
  </conditionalFormatting>
  <conditionalFormatting sqref="J69:AA84">
    <cfRule type="colorScale" priority="1">
      <colorScale>
        <cfvo type="formula" val="0"/>
        <cfvo type="formula" val="3"/>
        <cfvo type="formula" val="10"/>
        <color rgb="FF6D9EEB"/>
        <color rgb="FFFFFFFF"/>
        <color rgb="FFE06666"/>
      </colorScale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99A9D"/>
    <outlinePr summaryBelow="0" summaryRight="0"/>
  </sheetPr>
  <dimension ref="A1:AD113"/>
  <sheetViews>
    <sheetView workbookViewId="0"/>
  </sheetViews>
  <sheetFormatPr defaultColWidth="14.42578125" defaultRowHeight="15.75" customHeight="1" outlineLevelRow="1"/>
  <cols>
    <col min="2" max="5" width="14.42578125" hidden="1"/>
    <col min="9" max="17" width="14.42578125" hidden="1"/>
    <col min="23" max="23" width="16.140625" customWidth="1"/>
  </cols>
  <sheetData>
    <row r="1" spans="1:30" ht="12.75">
      <c r="A1" s="178"/>
      <c r="B1" s="179"/>
      <c r="C1" s="179"/>
      <c r="D1" s="179"/>
      <c r="E1" s="179"/>
      <c r="F1" s="179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 spans="1:30" ht="15">
      <c r="A2" s="178"/>
      <c r="B2" s="181"/>
      <c r="C2" s="181"/>
      <c r="D2" s="181"/>
      <c r="E2" s="181"/>
      <c r="F2" s="904" t="s">
        <v>91</v>
      </c>
      <c r="G2" s="905"/>
      <c r="H2" s="905"/>
      <c r="I2" s="905"/>
      <c r="J2" s="905"/>
      <c r="K2" s="180"/>
      <c r="L2" s="180"/>
      <c r="M2" s="236"/>
      <c r="N2" s="180"/>
      <c r="O2" s="236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</row>
    <row r="3" spans="1:30">
      <c r="A3" s="178"/>
      <c r="B3" s="185"/>
      <c r="C3" s="185"/>
      <c r="D3" s="185"/>
      <c r="E3" s="185"/>
      <c r="F3" s="185"/>
      <c r="G3" s="186"/>
      <c r="H3" s="186"/>
      <c r="I3" s="180"/>
      <c r="J3" s="180"/>
      <c r="K3" s="180"/>
      <c r="L3" s="180"/>
      <c r="M3" s="236"/>
      <c r="N3" s="180"/>
      <c r="O3" s="236"/>
      <c r="P3" s="180"/>
      <c r="Q3" s="180"/>
      <c r="R3" s="180"/>
      <c r="S3" s="180"/>
      <c r="T3" s="235"/>
      <c r="U3" s="235"/>
      <c r="V3" s="235"/>
      <c r="W3" s="235"/>
      <c r="X3" s="235"/>
      <c r="Y3" s="235"/>
      <c r="Z3" s="235"/>
    </row>
    <row r="4" spans="1:30">
      <c r="A4" s="178"/>
      <c r="B4" s="185"/>
      <c r="C4" s="185"/>
      <c r="D4" s="185"/>
      <c r="E4" s="185"/>
      <c r="F4" s="186"/>
      <c r="G4" s="186"/>
      <c r="H4" s="474" t="s">
        <v>286</v>
      </c>
      <c r="I4" s="315" t="s">
        <v>287</v>
      </c>
      <c r="J4" s="180"/>
      <c r="K4" s="180"/>
      <c r="L4" s="180"/>
      <c r="M4" s="186"/>
      <c r="N4" s="475"/>
      <c r="O4" s="476"/>
      <c r="P4" s="475"/>
      <c r="Q4" s="476"/>
      <c r="R4" s="475"/>
      <c r="S4" s="477"/>
      <c r="T4" s="475"/>
      <c r="U4" s="475"/>
      <c r="V4" s="475"/>
      <c r="W4" s="475"/>
      <c r="X4" s="475"/>
      <c r="Y4" s="475"/>
      <c r="Z4" s="180"/>
    </row>
    <row r="5" spans="1:30">
      <c r="A5" s="179"/>
      <c r="B5" s="185"/>
      <c r="C5" s="185"/>
      <c r="D5" s="185"/>
      <c r="E5" s="185"/>
      <c r="F5" s="953" t="s">
        <v>171</v>
      </c>
      <c r="G5" s="926"/>
      <c r="H5" s="926"/>
      <c r="I5" s="236" t="s">
        <v>289</v>
      </c>
      <c r="J5" s="236" t="s">
        <v>179</v>
      </c>
      <c r="K5" s="479" t="s">
        <v>180</v>
      </c>
      <c r="L5" s="479" t="s">
        <v>290</v>
      </c>
      <c r="M5" s="479" t="s">
        <v>291</v>
      </c>
      <c r="N5" s="479" t="s">
        <v>292</v>
      </c>
      <c r="O5" s="479" t="s">
        <v>172</v>
      </c>
      <c r="P5" s="479" t="s">
        <v>173</v>
      </c>
      <c r="Q5" s="479" t="s">
        <v>174</v>
      </c>
      <c r="R5" s="479" t="s">
        <v>175</v>
      </c>
      <c r="S5" s="479" t="s">
        <v>176</v>
      </c>
      <c r="T5" s="479" t="s">
        <v>177</v>
      </c>
      <c r="U5" s="236" t="s">
        <v>289</v>
      </c>
      <c r="V5" s="236" t="s">
        <v>179</v>
      </c>
      <c r="W5" s="479" t="s">
        <v>180</v>
      </c>
      <c r="X5" s="479" t="s">
        <v>290</v>
      </c>
      <c r="Y5" s="479" t="s">
        <v>291</v>
      </c>
      <c r="Z5" s="479"/>
    </row>
    <row r="6" spans="1:30">
      <c r="A6" s="180" t="s">
        <v>293</v>
      </c>
      <c r="B6" s="185"/>
      <c r="C6" s="185"/>
      <c r="D6" s="185"/>
      <c r="E6" s="185"/>
      <c r="F6" s="954" t="s">
        <v>13</v>
      </c>
      <c r="G6" s="862"/>
      <c r="H6" s="862"/>
      <c r="I6" s="484" t="s">
        <v>25</v>
      </c>
      <c r="J6" s="484" t="s">
        <v>14</v>
      </c>
      <c r="K6" s="484" t="s">
        <v>15</v>
      </c>
      <c r="L6" s="484" t="s">
        <v>16</v>
      </c>
      <c r="M6" s="484" t="s">
        <v>17</v>
      </c>
      <c r="N6" s="484" t="s">
        <v>18</v>
      </c>
      <c r="O6" s="484" t="s">
        <v>19</v>
      </c>
      <c r="P6" s="223" t="s">
        <v>20</v>
      </c>
      <c r="Q6" s="223" t="s">
        <v>21</v>
      </c>
      <c r="R6" s="223" t="s">
        <v>22</v>
      </c>
      <c r="S6" s="487" t="s">
        <v>23</v>
      </c>
      <c r="T6" s="488" t="s">
        <v>24</v>
      </c>
      <c r="U6" s="223" t="s">
        <v>25</v>
      </c>
      <c r="V6" s="484" t="s">
        <v>14</v>
      </c>
      <c r="W6" s="488" t="s">
        <v>15</v>
      </c>
      <c r="X6" s="484" t="s">
        <v>16</v>
      </c>
      <c r="Y6" s="484" t="s">
        <v>17</v>
      </c>
      <c r="Z6" s="484" t="s">
        <v>18</v>
      </c>
      <c r="AA6" s="484" t="s">
        <v>19</v>
      </c>
      <c r="AB6" s="223" t="s">
        <v>20</v>
      </c>
      <c r="AC6" s="223" t="s">
        <v>21</v>
      </c>
      <c r="AD6" s="223" t="s">
        <v>22</v>
      </c>
    </row>
    <row r="7" spans="1:30">
      <c r="A7" s="178"/>
      <c r="B7" s="185"/>
      <c r="C7" s="185"/>
      <c r="D7" s="185"/>
      <c r="E7" s="185"/>
      <c r="F7" s="955" t="s">
        <v>28</v>
      </c>
      <c r="G7" s="956" t="s">
        <v>27</v>
      </c>
      <c r="H7" s="489" t="s">
        <v>110</v>
      </c>
      <c r="I7" s="263">
        <v>3372</v>
      </c>
      <c r="J7" s="263">
        <v>3510</v>
      </c>
      <c r="K7" s="194"/>
      <c r="L7" s="194"/>
      <c r="M7" s="194"/>
      <c r="N7" s="490">
        <v>1620</v>
      </c>
      <c r="O7" s="267"/>
      <c r="P7" s="262"/>
      <c r="Q7" s="196"/>
      <c r="R7" s="262"/>
      <c r="S7" s="491"/>
      <c r="T7" s="492"/>
      <c r="U7" s="196"/>
      <c r="V7" s="194"/>
      <c r="W7" s="493"/>
      <c r="X7" s="494"/>
      <c r="Y7" s="495">
        <v>2160</v>
      </c>
      <c r="Z7" s="495"/>
      <c r="AA7" s="495"/>
      <c r="AB7" s="495"/>
      <c r="AC7" s="194"/>
      <c r="AD7" s="194"/>
    </row>
    <row r="8" spans="1:30">
      <c r="A8" s="178"/>
      <c r="B8" s="185"/>
      <c r="C8" s="185"/>
      <c r="D8" s="185"/>
      <c r="E8" s="185"/>
      <c r="F8" s="865"/>
      <c r="G8" s="919"/>
      <c r="H8" s="496">
        <v>1</v>
      </c>
      <c r="I8" s="263">
        <v>2604</v>
      </c>
      <c r="J8" s="263">
        <v>2700</v>
      </c>
      <c r="K8" s="194"/>
      <c r="L8" s="194"/>
      <c r="M8" s="194"/>
      <c r="N8" s="490">
        <v>1350</v>
      </c>
      <c r="O8" s="267"/>
      <c r="P8" s="262"/>
      <c r="Q8" s="116"/>
      <c r="R8" s="497">
        <v>5670</v>
      </c>
      <c r="S8" s="498">
        <v>5130</v>
      </c>
      <c r="T8" s="499"/>
      <c r="U8" s="196"/>
      <c r="V8" s="194"/>
      <c r="W8" s="493"/>
      <c r="X8" s="494"/>
      <c r="Y8" s="495"/>
      <c r="Z8" s="495"/>
      <c r="AA8" s="495"/>
      <c r="AB8" s="495"/>
      <c r="AC8" s="194"/>
      <c r="AD8" s="194"/>
    </row>
    <row r="9" spans="1:30">
      <c r="A9" s="178"/>
      <c r="B9" s="185"/>
      <c r="C9" s="185"/>
      <c r="D9" s="185"/>
      <c r="E9" s="185"/>
      <c r="F9" s="865"/>
      <c r="G9" s="919"/>
      <c r="H9" s="496">
        <v>2</v>
      </c>
      <c r="I9" s="263">
        <v>4404</v>
      </c>
      <c r="J9" s="263">
        <v>4320</v>
      </c>
      <c r="K9" s="194"/>
      <c r="L9" s="194"/>
      <c r="M9" s="194"/>
      <c r="N9" s="490">
        <v>2430</v>
      </c>
      <c r="O9" s="267"/>
      <c r="P9" s="262"/>
      <c r="Q9" s="196"/>
      <c r="R9" s="262"/>
      <c r="S9" s="491"/>
      <c r="T9" s="501">
        <v>5130</v>
      </c>
      <c r="U9" s="262"/>
      <c r="V9" s="194">
        <v>5940</v>
      </c>
      <c r="W9" s="493"/>
      <c r="X9" s="494"/>
      <c r="Y9" s="495">
        <v>3780</v>
      </c>
      <c r="Z9" s="495"/>
      <c r="AA9" s="495"/>
      <c r="AB9" s="495"/>
      <c r="AC9" s="194"/>
      <c r="AD9" s="194"/>
    </row>
    <row r="10" spans="1:30">
      <c r="A10" s="178"/>
      <c r="B10" s="185"/>
      <c r="C10" s="185"/>
      <c r="D10" s="185"/>
      <c r="E10" s="185"/>
      <c r="F10" s="865"/>
      <c r="G10" s="920"/>
      <c r="H10" s="503">
        <v>3</v>
      </c>
      <c r="I10" s="263">
        <v>810</v>
      </c>
      <c r="J10" s="263">
        <v>810</v>
      </c>
      <c r="K10" s="194"/>
      <c r="L10" s="194"/>
      <c r="M10" s="194"/>
      <c r="N10" s="490">
        <v>540</v>
      </c>
      <c r="O10" s="267"/>
      <c r="P10" s="262"/>
      <c r="Q10" s="504"/>
      <c r="R10" s="120"/>
      <c r="S10" s="498">
        <v>810</v>
      </c>
      <c r="T10" s="501">
        <v>810</v>
      </c>
      <c r="U10" s="262"/>
      <c r="V10" s="194"/>
      <c r="W10" s="493"/>
      <c r="X10" s="494"/>
      <c r="Y10" s="495"/>
      <c r="Z10" s="495"/>
      <c r="AA10" s="495"/>
      <c r="AB10" s="495"/>
      <c r="AC10" s="194"/>
      <c r="AD10" s="194"/>
    </row>
    <row r="11" spans="1:30">
      <c r="A11" s="178"/>
      <c r="B11" s="185"/>
      <c r="C11" s="185"/>
      <c r="D11" s="185"/>
      <c r="E11" s="185"/>
      <c r="F11" s="865"/>
      <c r="G11" s="957" t="s">
        <v>32</v>
      </c>
      <c r="H11" s="505" t="s">
        <v>110</v>
      </c>
      <c r="I11" s="263">
        <v>2688</v>
      </c>
      <c r="J11" s="263">
        <v>7296</v>
      </c>
      <c r="K11" s="194"/>
      <c r="L11" s="263">
        <v>14592</v>
      </c>
      <c r="M11" s="263">
        <v>9216</v>
      </c>
      <c r="N11" s="267"/>
      <c r="O11" s="490">
        <v>19200</v>
      </c>
      <c r="P11" s="262"/>
      <c r="Q11" s="196"/>
      <c r="R11" s="262"/>
      <c r="S11" s="507">
        <v>4992</v>
      </c>
      <c r="T11" s="509">
        <f>5760+1920+9532</f>
        <v>17212</v>
      </c>
      <c r="U11" s="510">
        <f>7680</f>
        <v>7680</v>
      </c>
      <c r="V11" s="194">
        <f>3456+3840</f>
        <v>7296</v>
      </c>
      <c r="W11" s="493"/>
      <c r="X11" s="494"/>
      <c r="Y11" s="495">
        <v>2688</v>
      </c>
      <c r="Z11" s="495"/>
      <c r="AA11" s="495"/>
      <c r="AB11" s="495"/>
      <c r="AC11" s="194"/>
      <c r="AD11" s="194"/>
    </row>
    <row r="12" spans="1:30">
      <c r="A12" s="178"/>
      <c r="B12" s="185"/>
      <c r="C12" s="185"/>
      <c r="D12" s="185"/>
      <c r="E12" s="185"/>
      <c r="F12" s="865"/>
      <c r="G12" s="919"/>
      <c r="H12" s="505">
        <v>1</v>
      </c>
      <c r="I12" s="263">
        <v>2688</v>
      </c>
      <c r="J12" s="263">
        <v>7296</v>
      </c>
      <c r="K12" s="263">
        <v>6912</v>
      </c>
      <c r="L12" s="194"/>
      <c r="M12" s="263">
        <v>8448</v>
      </c>
      <c r="N12" s="267"/>
      <c r="O12" s="490">
        <v>26496</v>
      </c>
      <c r="P12" s="262"/>
      <c r="Q12" s="214">
        <v>16128</v>
      </c>
      <c r="R12" s="262"/>
      <c r="S12" s="507">
        <v>3456</v>
      </c>
      <c r="T12" s="509">
        <f>9600+5576</f>
        <v>15176</v>
      </c>
      <c r="U12" s="510">
        <f>8832+8832</f>
        <v>17664</v>
      </c>
      <c r="V12" s="194">
        <f>4992+9984</f>
        <v>14976</v>
      </c>
      <c r="W12" s="194">
        <v>9984</v>
      </c>
      <c r="X12" s="494"/>
      <c r="Y12" s="495">
        <v>15360</v>
      </c>
      <c r="Z12" s="495"/>
      <c r="AA12" s="495"/>
      <c r="AB12" s="495"/>
      <c r="AC12" s="194"/>
      <c r="AD12" s="194"/>
    </row>
    <row r="13" spans="1:30">
      <c r="A13" s="178"/>
      <c r="B13" s="185"/>
      <c r="C13" s="185"/>
      <c r="D13" s="185"/>
      <c r="E13" s="185"/>
      <c r="F13" s="865"/>
      <c r="G13" s="919"/>
      <c r="H13" s="505">
        <v>2</v>
      </c>
      <c r="I13" s="515">
        <v>3072</v>
      </c>
      <c r="J13" s="263">
        <v>9984</v>
      </c>
      <c r="K13" s="263">
        <v>18432</v>
      </c>
      <c r="L13" s="263">
        <v>19200</v>
      </c>
      <c r="M13" s="263">
        <v>16128</v>
      </c>
      <c r="N13" s="267"/>
      <c r="O13" s="490">
        <v>31488</v>
      </c>
      <c r="P13" s="262"/>
      <c r="Q13" s="196"/>
      <c r="R13" s="262"/>
      <c r="S13" s="491"/>
      <c r="T13" s="509"/>
      <c r="U13" s="196"/>
      <c r="V13" s="194">
        <v>11520</v>
      </c>
      <c r="W13" s="194">
        <v>21504</v>
      </c>
      <c r="X13" s="494"/>
      <c r="Y13" s="495">
        <v>14592</v>
      </c>
      <c r="Z13" s="495"/>
      <c r="AA13" s="495"/>
      <c r="AB13" s="495"/>
      <c r="AC13" s="194"/>
      <c r="AD13" s="194"/>
    </row>
    <row r="14" spans="1:30">
      <c r="A14" s="178"/>
      <c r="B14" s="185"/>
      <c r="C14" s="185"/>
      <c r="D14" s="185"/>
      <c r="E14" s="185"/>
      <c r="F14" s="865"/>
      <c r="G14" s="920"/>
      <c r="H14" s="518" t="s">
        <v>295</v>
      </c>
      <c r="I14" s="263">
        <v>2688</v>
      </c>
      <c r="J14" s="263">
        <v>7296</v>
      </c>
      <c r="K14" s="263">
        <v>6912</v>
      </c>
      <c r="L14" s="194"/>
      <c r="M14" s="263">
        <v>8448</v>
      </c>
      <c r="N14" s="267"/>
      <c r="O14" s="267"/>
      <c r="P14" s="265">
        <f>1863+1536</f>
        <v>3399</v>
      </c>
      <c r="Q14" s="201">
        <v>1920</v>
      </c>
      <c r="R14" s="262"/>
      <c r="S14" s="521"/>
      <c r="T14" s="493">
        <v>1196</v>
      </c>
      <c r="U14" s="196"/>
      <c r="V14" s="194"/>
      <c r="W14" s="194">
        <v>2304</v>
      </c>
      <c r="X14" s="494"/>
      <c r="Y14" s="495">
        <v>1152</v>
      </c>
      <c r="Z14" s="495"/>
      <c r="AA14" s="495"/>
      <c r="AB14" s="495"/>
      <c r="AC14" s="194"/>
      <c r="AD14" s="194"/>
    </row>
    <row r="15" spans="1:30">
      <c r="A15" s="522"/>
      <c r="B15" s="185"/>
      <c r="C15" s="185"/>
      <c r="D15" s="185"/>
      <c r="E15" s="185"/>
      <c r="F15" s="865"/>
      <c r="G15" s="958"/>
      <c r="H15" s="525" t="s">
        <v>133</v>
      </c>
      <c r="I15" s="526"/>
      <c r="J15" s="526"/>
      <c r="K15" s="526"/>
      <c r="L15" s="526"/>
      <c r="M15" s="526"/>
      <c r="N15" s="526"/>
      <c r="O15" s="526"/>
      <c r="P15" s="265">
        <v>1008</v>
      </c>
      <c r="Q15" s="211"/>
      <c r="R15" s="211"/>
      <c r="S15" s="529"/>
      <c r="T15" s="530"/>
      <c r="U15" s="211"/>
      <c r="V15" s="213">
        <v>3024</v>
      </c>
      <c r="W15" s="530"/>
      <c r="X15" s="532"/>
      <c r="Y15" s="534">
        <v>2016</v>
      </c>
      <c r="Z15" s="534"/>
      <c r="AA15" s="534"/>
      <c r="AB15" s="534"/>
      <c r="AC15" s="526"/>
      <c r="AD15" s="526"/>
    </row>
    <row r="16" spans="1:30">
      <c r="A16" s="522"/>
      <c r="B16" s="185"/>
      <c r="C16" s="185"/>
      <c r="D16" s="185"/>
      <c r="E16" s="185"/>
      <c r="F16" s="865"/>
      <c r="G16" s="920"/>
      <c r="H16" s="537" t="s">
        <v>134</v>
      </c>
      <c r="I16" s="526"/>
      <c r="J16" s="526"/>
      <c r="K16" s="526"/>
      <c r="L16" s="526"/>
      <c r="M16" s="526"/>
      <c r="N16" s="526"/>
      <c r="O16" s="526"/>
      <c r="P16" s="265">
        <v>1008</v>
      </c>
      <c r="Q16" s="211"/>
      <c r="R16" s="211"/>
      <c r="S16" s="529"/>
      <c r="T16" s="530"/>
      <c r="U16" s="211"/>
      <c r="V16" s="213">
        <v>1008</v>
      </c>
      <c r="W16" s="530"/>
      <c r="X16" s="538"/>
      <c r="Y16" s="534"/>
      <c r="Z16" s="534"/>
      <c r="AA16" s="534"/>
      <c r="AB16" s="534"/>
      <c r="AC16" s="526"/>
      <c r="AD16" s="526"/>
    </row>
    <row r="17" spans="1:30">
      <c r="A17" s="522"/>
      <c r="B17" s="185"/>
      <c r="C17" s="185"/>
      <c r="D17" s="185"/>
      <c r="E17" s="185"/>
      <c r="F17" s="865"/>
      <c r="G17" s="959" t="s">
        <v>38</v>
      </c>
      <c r="H17" s="879"/>
      <c r="I17" s="228">
        <f t="shared" ref="I17:M17" si="0">SUM(I7:I13)</f>
        <v>19638</v>
      </c>
      <c r="J17" s="228">
        <f t="shared" si="0"/>
        <v>35916</v>
      </c>
      <c r="K17" s="228">
        <f t="shared" si="0"/>
        <v>25344</v>
      </c>
      <c r="L17" s="228">
        <f t="shared" si="0"/>
        <v>33792</v>
      </c>
      <c r="M17" s="228">
        <f t="shared" si="0"/>
        <v>33792</v>
      </c>
      <c r="N17" s="228">
        <f t="shared" ref="N17:O17" si="1">SUM(N7:N14)</f>
        <v>5940</v>
      </c>
      <c r="O17" s="228">
        <f t="shared" si="1"/>
        <v>77184</v>
      </c>
      <c r="P17" s="224">
        <f t="shared" ref="P17:AD17" si="2">SUM(P7:P16)</f>
        <v>5415</v>
      </c>
      <c r="Q17" s="224">
        <f t="shared" si="2"/>
        <v>18048</v>
      </c>
      <c r="R17" s="224">
        <f t="shared" si="2"/>
        <v>5670</v>
      </c>
      <c r="S17" s="540">
        <f t="shared" si="2"/>
        <v>14388</v>
      </c>
      <c r="T17" s="226">
        <f t="shared" si="2"/>
        <v>39524</v>
      </c>
      <c r="U17" s="224">
        <f t="shared" si="2"/>
        <v>25344</v>
      </c>
      <c r="V17" s="228">
        <f t="shared" si="2"/>
        <v>43764</v>
      </c>
      <c r="W17" s="226">
        <f t="shared" si="2"/>
        <v>33792</v>
      </c>
      <c r="X17" s="224">
        <f t="shared" si="2"/>
        <v>0</v>
      </c>
      <c r="Y17" s="224">
        <f t="shared" si="2"/>
        <v>41748</v>
      </c>
      <c r="Z17" s="224">
        <f t="shared" si="2"/>
        <v>0</v>
      </c>
      <c r="AA17" s="224">
        <f t="shared" si="2"/>
        <v>0</v>
      </c>
      <c r="AB17" s="224">
        <f t="shared" si="2"/>
        <v>0</v>
      </c>
      <c r="AC17" s="224">
        <f t="shared" si="2"/>
        <v>0</v>
      </c>
      <c r="AD17" s="224">
        <f t="shared" si="2"/>
        <v>0</v>
      </c>
    </row>
    <row r="18" spans="1:30">
      <c r="A18" s="522"/>
      <c r="B18" s="185"/>
      <c r="C18" s="185"/>
      <c r="D18" s="185"/>
      <c r="E18" s="185"/>
      <c r="F18" s="865"/>
      <c r="G18" s="959" t="s">
        <v>39</v>
      </c>
      <c r="H18" s="879"/>
      <c r="I18" s="228"/>
      <c r="J18" s="228"/>
      <c r="K18" s="228"/>
      <c r="L18" s="228"/>
      <c r="M18" s="228"/>
      <c r="N18" s="228"/>
      <c r="O18" s="228"/>
      <c r="P18" s="224"/>
      <c r="Q18" s="224" t="e">
        <f t="shared" ref="Q18:U18" si="3">#REF!</f>
        <v>#REF!</v>
      </c>
      <c r="R18" s="224" t="e">
        <f t="shared" si="3"/>
        <v>#REF!</v>
      </c>
      <c r="S18" s="540" t="e">
        <f t="shared" si="3"/>
        <v>#REF!</v>
      </c>
      <c r="T18" s="226" t="e">
        <f t="shared" si="3"/>
        <v>#REF!</v>
      </c>
      <c r="U18" s="224" t="e">
        <f t="shared" si="3"/>
        <v>#REF!</v>
      </c>
      <c r="V18" s="228" t="s">
        <v>677</v>
      </c>
      <c r="W18" s="226" t="s">
        <v>677</v>
      </c>
      <c r="X18" s="224" t="s">
        <v>677</v>
      </c>
      <c r="Y18" s="224" t="s">
        <v>677</v>
      </c>
      <c r="Z18" s="224" t="s">
        <v>677</v>
      </c>
      <c r="AA18" s="224" t="s">
        <v>677</v>
      </c>
      <c r="AB18" s="224" t="s">
        <v>677</v>
      </c>
      <c r="AC18" s="224" t="s">
        <v>677</v>
      </c>
      <c r="AD18" s="224" t="s">
        <v>677</v>
      </c>
    </row>
    <row r="19" spans="1:30">
      <c r="A19" s="522"/>
      <c r="B19" s="185"/>
      <c r="C19" s="185"/>
      <c r="D19" s="185"/>
      <c r="E19" s="185"/>
      <c r="F19" s="866"/>
      <c r="G19" s="959" t="s">
        <v>40</v>
      </c>
      <c r="H19" s="879"/>
      <c r="I19" s="228"/>
      <c r="J19" s="228"/>
      <c r="K19" s="228"/>
      <c r="L19" s="228"/>
      <c r="M19" s="228"/>
      <c r="N19" s="228"/>
      <c r="O19" s="228"/>
      <c r="P19" s="224"/>
      <c r="Q19" s="224" t="e">
        <f t="shared" ref="Q19:AD19" si="4">Q18*1456.78</f>
        <v>#REF!</v>
      </c>
      <c r="R19" s="224" t="e">
        <f t="shared" si="4"/>
        <v>#REF!</v>
      </c>
      <c r="S19" s="542" t="e">
        <f t="shared" si="4"/>
        <v>#REF!</v>
      </c>
      <c r="T19" s="226" t="e">
        <f t="shared" si="4"/>
        <v>#REF!</v>
      </c>
      <c r="U19" s="224" t="e">
        <f t="shared" si="4"/>
        <v>#REF!</v>
      </c>
      <c r="V19" s="224" t="e">
        <f t="shared" si="4"/>
        <v>#VALUE!</v>
      </c>
      <c r="W19" s="224" t="e">
        <f t="shared" si="4"/>
        <v>#VALUE!</v>
      </c>
      <c r="X19" s="224" t="e">
        <f t="shared" si="4"/>
        <v>#VALUE!</v>
      </c>
      <c r="Y19" s="224" t="e">
        <f t="shared" si="4"/>
        <v>#VALUE!</v>
      </c>
      <c r="Z19" s="224" t="e">
        <f t="shared" si="4"/>
        <v>#VALUE!</v>
      </c>
      <c r="AA19" s="224" t="e">
        <f t="shared" si="4"/>
        <v>#VALUE!</v>
      </c>
      <c r="AB19" s="224" t="e">
        <f t="shared" si="4"/>
        <v>#VALUE!</v>
      </c>
      <c r="AC19" s="224" t="e">
        <f t="shared" si="4"/>
        <v>#VALUE!</v>
      </c>
      <c r="AD19" s="224" t="e">
        <f t="shared" si="4"/>
        <v>#VALUE!</v>
      </c>
    </row>
    <row r="20" spans="1:30">
      <c r="A20" s="522"/>
      <c r="B20" s="185"/>
      <c r="C20" s="185"/>
      <c r="D20" s="185"/>
      <c r="E20" s="185"/>
      <c r="F20" s="235"/>
      <c r="G20" s="236"/>
      <c r="H20" s="23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546"/>
      <c r="X20" s="186"/>
      <c r="Y20" s="186"/>
      <c r="Z20" s="186"/>
    </row>
    <row r="21" spans="1:30">
      <c r="A21" s="522"/>
      <c r="B21" s="185"/>
      <c r="C21" s="185"/>
      <c r="D21" s="185"/>
      <c r="E21" s="185"/>
      <c r="F21" s="235"/>
      <c r="G21" s="236"/>
      <c r="H21" s="236"/>
      <c r="I21" s="547" t="s">
        <v>298</v>
      </c>
      <c r="J21" s="547" t="s">
        <v>298</v>
      </c>
      <c r="K21" s="547" t="s">
        <v>298</v>
      </c>
      <c r="L21" s="547" t="s">
        <v>298</v>
      </c>
      <c r="M21" s="547" t="s">
        <v>298</v>
      </c>
      <c r="N21" s="547" t="s">
        <v>298</v>
      </c>
      <c r="O21" s="547" t="s">
        <v>298</v>
      </c>
      <c r="P21" s="547" t="s">
        <v>298</v>
      </c>
      <c r="Q21" s="547" t="s">
        <v>298</v>
      </c>
      <c r="R21" s="547" t="s">
        <v>298</v>
      </c>
      <c r="S21" s="547" t="s">
        <v>42</v>
      </c>
      <c r="T21" s="547" t="s">
        <v>42</v>
      </c>
      <c r="U21" s="547" t="s">
        <v>42</v>
      </c>
      <c r="V21" s="547" t="s">
        <v>42</v>
      </c>
      <c r="W21" s="547" t="s">
        <v>42</v>
      </c>
      <c r="X21" s="547" t="s">
        <v>42</v>
      </c>
      <c r="Y21" s="547" t="s">
        <v>42</v>
      </c>
      <c r="Z21" s="547" t="s">
        <v>42</v>
      </c>
    </row>
    <row r="22" spans="1:30" outlineLevel="1">
      <c r="A22" s="178"/>
      <c r="B22" s="185"/>
      <c r="C22" s="185"/>
      <c r="D22" s="185"/>
      <c r="E22" s="185"/>
      <c r="F22" s="960" t="s">
        <v>43</v>
      </c>
      <c r="G22" s="862"/>
      <c r="H22" s="862"/>
      <c r="I22" s="240" t="s">
        <v>25</v>
      </c>
      <c r="J22" s="240" t="s">
        <v>14</v>
      </c>
      <c r="K22" s="240" t="s">
        <v>15</v>
      </c>
      <c r="L22" s="240" t="s">
        <v>16</v>
      </c>
      <c r="M22" s="240" t="s">
        <v>17</v>
      </c>
      <c r="N22" s="240" t="s">
        <v>18</v>
      </c>
      <c r="O22" s="240" t="s">
        <v>19</v>
      </c>
      <c r="P22" s="243" t="s">
        <v>20</v>
      </c>
      <c r="Q22" s="243" t="s">
        <v>21</v>
      </c>
      <c r="R22" s="243" t="s">
        <v>22</v>
      </c>
      <c r="S22" s="548" t="s">
        <v>23</v>
      </c>
      <c r="T22" s="549" t="s">
        <v>179</v>
      </c>
      <c r="U22" s="243" t="s">
        <v>25</v>
      </c>
      <c r="V22" s="240" t="s">
        <v>14</v>
      </c>
      <c r="W22" s="549" t="s">
        <v>15</v>
      </c>
      <c r="X22" s="240" t="s">
        <v>16</v>
      </c>
      <c r="Y22" s="240" t="s">
        <v>17</v>
      </c>
      <c r="Z22" s="240" t="s">
        <v>18</v>
      </c>
      <c r="AA22" s="240" t="s">
        <v>19</v>
      </c>
      <c r="AB22" s="240" t="s">
        <v>20</v>
      </c>
      <c r="AC22" s="240" t="s">
        <v>21</v>
      </c>
      <c r="AD22" s="240" t="s">
        <v>22</v>
      </c>
    </row>
    <row r="23" spans="1:30" outlineLevel="1">
      <c r="A23" s="178"/>
      <c r="B23" s="185"/>
      <c r="C23" s="185"/>
      <c r="D23" s="185"/>
      <c r="E23" s="185"/>
      <c r="F23" s="961" t="s">
        <v>44</v>
      </c>
      <c r="G23" s="956" t="s">
        <v>27</v>
      </c>
      <c r="H23" s="489" t="s">
        <v>110</v>
      </c>
      <c r="I23" s="462">
        <v>6</v>
      </c>
      <c r="J23" s="462">
        <v>88</v>
      </c>
      <c r="K23" s="462">
        <v>67</v>
      </c>
      <c r="L23" s="462">
        <v>150</v>
      </c>
      <c r="M23" s="462">
        <v>250</v>
      </c>
      <c r="N23" s="462">
        <v>377</v>
      </c>
      <c r="O23" s="462">
        <v>342</v>
      </c>
      <c r="P23" s="550">
        <v>302</v>
      </c>
      <c r="Q23" s="116">
        <v>565</v>
      </c>
      <c r="R23" s="116">
        <v>470</v>
      </c>
      <c r="S23" s="551">
        <v>711</v>
      </c>
      <c r="T23" s="556">
        <v>534</v>
      </c>
      <c r="U23" s="557">
        <v>550</v>
      </c>
      <c r="V23" s="557">
        <v>644</v>
      </c>
      <c r="W23" s="557">
        <v>663</v>
      </c>
      <c r="X23" s="557">
        <v>682</v>
      </c>
      <c r="Y23" s="557">
        <v>699</v>
      </c>
      <c r="Z23" s="557">
        <v>720</v>
      </c>
      <c r="AA23" s="557">
        <v>742</v>
      </c>
      <c r="AB23" s="557">
        <v>764</v>
      </c>
      <c r="AC23" s="557">
        <v>795</v>
      </c>
      <c r="AD23" s="557">
        <v>819</v>
      </c>
    </row>
    <row r="24" spans="1:30" outlineLevel="1">
      <c r="A24" s="178"/>
      <c r="B24" s="185"/>
      <c r="C24" s="185"/>
      <c r="D24" s="185"/>
      <c r="E24" s="185"/>
      <c r="F24" s="865"/>
      <c r="G24" s="919"/>
      <c r="H24" s="496">
        <v>1</v>
      </c>
      <c r="I24" s="462">
        <v>22</v>
      </c>
      <c r="J24" s="462">
        <v>138</v>
      </c>
      <c r="K24" s="462">
        <v>316</v>
      </c>
      <c r="L24" s="462">
        <v>832</v>
      </c>
      <c r="M24" s="144">
        <v>1229</v>
      </c>
      <c r="N24" s="144">
        <v>1014</v>
      </c>
      <c r="O24" s="462">
        <v>933</v>
      </c>
      <c r="P24" s="550">
        <v>743</v>
      </c>
      <c r="Q24" s="116">
        <v>744</v>
      </c>
      <c r="R24" s="116">
        <v>700</v>
      </c>
      <c r="S24" s="558">
        <v>711</v>
      </c>
      <c r="T24" s="559">
        <v>587</v>
      </c>
      <c r="U24" s="560">
        <v>590</v>
      </c>
      <c r="V24" s="560">
        <v>677</v>
      </c>
      <c r="W24" s="560">
        <v>688</v>
      </c>
      <c r="X24" s="560">
        <v>701</v>
      </c>
      <c r="Y24" s="560">
        <v>721</v>
      </c>
      <c r="Z24" s="560">
        <v>743</v>
      </c>
      <c r="AA24" s="560">
        <v>765</v>
      </c>
      <c r="AB24" s="560">
        <v>788</v>
      </c>
      <c r="AC24" s="560">
        <v>820</v>
      </c>
      <c r="AD24" s="560">
        <v>844</v>
      </c>
    </row>
    <row r="25" spans="1:30" outlineLevel="1">
      <c r="A25" s="178"/>
      <c r="B25" s="185"/>
      <c r="C25" s="185"/>
      <c r="D25" s="185"/>
      <c r="E25" s="185"/>
      <c r="F25" s="865"/>
      <c r="G25" s="919"/>
      <c r="H25" s="496">
        <v>2</v>
      </c>
      <c r="I25" s="462">
        <v>10</v>
      </c>
      <c r="J25" s="462">
        <v>68</v>
      </c>
      <c r="K25" s="462">
        <v>161</v>
      </c>
      <c r="L25" s="462">
        <v>275</v>
      </c>
      <c r="M25" s="462">
        <v>761</v>
      </c>
      <c r="N25" s="462">
        <v>743</v>
      </c>
      <c r="O25" s="144">
        <v>1467</v>
      </c>
      <c r="P25" s="550">
        <v>1179</v>
      </c>
      <c r="Q25" s="116">
        <v>1336</v>
      </c>
      <c r="R25" s="116">
        <v>1178</v>
      </c>
      <c r="S25" s="551">
        <v>1026</v>
      </c>
      <c r="T25" s="559">
        <v>1584</v>
      </c>
      <c r="U25" s="560">
        <v>1616</v>
      </c>
      <c r="V25" s="560">
        <v>1874</v>
      </c>
      <c r="W25" s="560">
        <v>1911</v>
      </c>
      <c r="X25" s="560">
        <v>1966</v>
      </c>
      <c r="Y25" s="560">
        <v>2023</v>
      </c>
      <c r="Z25" s="560">
        <v>2084</v>
      </c>
      <c r="AA25" s="560">
        <v>2146</v>
      </c>
      <c r="AB25" s="560">
        <v>2253</v>
      </c>
      <c r="AC25" s="560">
        <v>2411</v>
      </c>
      <c r="AD25" s="560">
        <v>2652</v>
      </c>
    </row>
    <row r="26" spans="1:30" outlineLevel="1">
      <c r="A26" s="178"/>
      <c r="B26" s="185"/>
      <c r="C26" s="185"/>
      <c r="D26" s="185"/>
      <c r="E26" s="185"/>
      <c r="F26" s="865"/>
      <c r="G26" s="920"/>
      <c r="H26" s="503">
        <v>3</v>
      </c>
      <c r="I26" s="462">
        <v>0</v>
      </c>
      <c r="J26" s="462">
        <v>4</v>
      </c>
      <c r="K26" s="462">
        <v>8</v>
      </c>
      <c r="L26" s="462">
        <v>24</v>
      </c>
      <c r="M26" s="462">
        <v>232</v>
      </c>
      <c r="N26" s="462">
        <v>207</v>
      </c>
      <c r="O26" s="462">
        <v>358</v>
      </c>
      <c r="P26" s="550">
        <v>105</v>
      </c>
      <c r="Q26" s="116">
        <v>86</v>
      </c>
      <c r="R26" s="116">
        <v>94</v>
      </c>
      <c r="S26" s="558">
        <v>86</v>
      </c>
      <c r="T26" s="559">
        <v>88</v>
      </c>
      <c r="U26" s="560">
        <v>91</v>
      </c>
      <c r="V26" s="560">
        <v>107</v>
      </c>
      <c r="W26" s="560">
        <v>110</v>
      </c>
      <c r="X26" s="560">
        <v>113</v>
      </c>
      <c r="Y26" s="560">
        <v>116</v>
      </c>
      <c r="Z26" s="560">
        <v>120</v>
      </c>
      <c r="AA26" s="560">
        <v>123</v>
      </c>
      <c r="AB26" s="560">
        <v>132</v>
      </c>
      <c r="AC26" s="560">
        <v>145</v>
      </c>
      <c r="AD26" s="560">
        <v>154</v>
      </c>
    </row>
    <row r="27" spans="1:30" outlineLevel="1">
      <c r="A27" s="178"/>
      <c r="B27" s="185"/>
      <c r="C27" s="185"/>
      <c r="D27" s="185"/>
      <c r="E27" s="185"/>
      <c r="F27" s="865"/>
      <c r="G27" s="957" t="s">
        <v>32</v>
      </c>
      <c r="H27" s="505" t="s">
        <v>110</v>
      </c>
      <c r="I27" s="462">
        <v>184</v>
      </c>
      <c r="J27" s="144">
        <v>1248</v>
      </c>
      <c r="K27" s="144">
        <v>1712</v>
      </c>
      <c r="L27" s="144">
        <v>2254</v>
      </c>
      <c r="M27" s="144">
        <v>3248</v>
      </c>
      <c r="N27" s="144">
        <v>4757</v>
      </c>
      <c r="O27" s="144">
        <v>3703</v>
      </c>
      <c r="P27" s="550">
        <v>5085</v>
      </c>
      <c r="Q27" s="116">
        <v>4611</v>
      </c>
      <c r="R27" s="116">
        <v>5026</v>
      </c>
      <c r="S27" s="558">
        <v>4541</v>
      </c>
      <c r="T27" s="559">
        <v>4923</v>
      </c>
      <c r="U27" s="560">
        <v>5071</v>
      </c>
      <c r="V27" s="560">
        <v>6598</v>
      </c>
      <c r="W27" s="560">
        <v>6790</v>
      </c>
      <c r="X27" s="560">
        <v>6988</v>
      </c>
      <c r="Y27" s="560">
        <v>7169</v>
      </c>
      <c r="Z27" s="560">
        <v>7384</v>
      </c>
      <c r="AA27" s="560">
        <v>7605</v>
      </c>
      <c r="AB27" s="560">
        <v>7833</v>
      </c>
      <c r="AC27" s="560">
        <v>8303</v>
      </c>
      <c r="AD27" s="560">
        <v>8718</v>
      </c>
    </row>
    <row r="28" spans="1:30" outlineLevel="1">
      <c r="A28" s="178"/>
      <c r="B28" s="185"/>
      <c r="C28" s="185"/>
      <c r="D28" s="185"/>
      <c r="E28" s="185"/>
      <c r="F28" s="865"/>
      <c r="G28" s="919"/>
      <c r="H28" s="505">
        <v>1</v>
      </c>
      <c r="I28" s="462">
        <v>258</v>
      </c>
      <c r="J28" s="144">
        <v>1350</v>
      </c>
      <c r="K28" s="144">
        <v>1896</v>
      </c>
      <c r="L28" s="144">
        <v>4155</v>
      </c>
      <c r="M28" s="144">
        <v>5197</v>
      </c>
      <c r="N28" s="144">
        <v>6023</v>
      </c>
      <c r="O28" s="144">
        <v>5139</v>
      </c>
      <c r="P28" s="550">
        <v>7077</v>
      </c>
      <c r="Q28" s="116">
        <v>6977</v>
      </c>
      <c r="R28" s="116">
        <v>8068</v>
      </c>
      <c r="S28" s="558">
        <v>7701</v>
      </c>
      <c r="T28" s="559">
        <v>7876</v>
      </c>
      <c r="U28" s="560">
        <v>8113</v>
      </c>
      <c r="V28" s="560">
        <v>10555</v>
      </c>
      <c r="W28" s="560">
        <v>10863</v>
      </c>
      <c r="X28" s="560">
        <v>11179</v>
      </c>
      <c r="Y28" s="560">
        <v>11469</v>
      </c>
      <c r="Z28" s="560">
        <v>11813</v>
      </c>
      <c r="AA28" s="560">
        <v>12167</v>
      </c>
      <c r="AB28" s="560">
        <v>12532</v>
      </c>
      <c r="AC28" s="560">
        <v>13284</v>
      </c>
      <c r="AD28" s="560">
        <v>13948</v>
      </c>
    </row>
    <row r="29" spans="1:30" outlineLevel="1">
      <c r="A29" s="178"/>
      <c r="B29" s="185"/>
      <c r="C29" s="185"/>
      <c r="D29" s="185"/>
      <c r="E29" s="185"/>
      <c r="F29" s="865"/>
      <c r="G29" s="919"/>
      <c r="H29" s="505">
        <v>2</v>
      </c>
      <c r="I29" s="561">
        <v>110</v>
      </c>
      <c r="J29" s="462">
        <v>460</v>
      </c>
      <c r="K29" s="462">
        <v>691</v>
      </c>
      <c r="L29" s="144">
        <v>1132</v>
      </c>
      <c r="M29" s="144">
        <v>2328</v>
      </c>
      <c r="N29" s="144">
        <v>2898</v>
      </c>
      <c r="O29" s="144">
        <v>3723</v>
      </c>
      <c r="P29" s="550">
        <v>8699</v>
      </c>
      <c r="Q29" s="116">
        <v>11723</v>
      </c>
      <c r="R29" s="116">
        <v>11363</v>
      </c>
      <c r="S29" s="551">
        <v>6506</v>
      </c>
      <c r="T29" s="559">
        <v>8354</v>
      </c>
      <c r="U29" s="560">
        <v>8605</v>
      </c>
      <c r="V29" s="560">
        <v>11196</v>
      </c>
      <c r="W29" s="560">
        <v>11522</v>
      </c>
      <c r="X29" s="560">
        <v>11857</v>
      </c>
      <c r="Y29" s="560">
        <v>12166</v>
      </c>
      <c r="Z29" s="560">
        <v>12530</v>
      </c>
      <c r="AA29" s="560">
        <v>12906</v>
      </c>
      <c r="AB29" s="560">
        <v>13294</v>
      </c>
      <c r="AC29" s="560">
        <v>13692</v>
      </c>
      <c r="AD29" s="560">
        <v>14103</v>
      </c>
    </row>
    <row r="30" spans="1:30" outlineLevel="1">
      <c r="A30" s="178"/>
      <c r="B30" s="185"/>
      <c r="C30" s="185"/>
      <c r="D30" s="185"/>
      <c r="E30" s="185"/>
      <c r="F30" s="865"/>
      <c r="G30" s="920"/>
      <c r="H30" s="518" t="s">
        <v>295</v>
      </c>
      <c r="I30" s="462"/>
      <c r="J30" s="462"/>
      <c r="K30" s="462"/>
      <c r="L30" s="144"/>
      <c r="M30" s="144"/>
      <c r="N30" s="144"/>
      <c r="O30" s="144"/>
      <c r="P30" s="550">
        <v>27</v>
      </c>
      <c r="Q30" s="116">
        <v>400</v>
      </c>
      <c r="R30" s="116">
        <v>335</v>
      </c>
      <c r="S30" s="551">
        <v>446</v>
      </c>
      <c r="T30" s="559">
        <v>466</v>
      </c>
      <c r="U30" s="560">
        <v>513</v>
      </c>
      <c r="V30" s="560">
        <v>713</v>
      </c>
      <c r="W30" s="560">
        <v>727</v>
      </c>
      <c r="X30" s="560">
        <v>742</v>
      </c>
      <c r="Y30" s="560">
        <v>756</v>
      </c>
      <c r="Z30" s="560">
        <v>772</v>
      </c>
      <c r="AA30" s="560">
        <v>787</v>
      </c>
      <c r="AB30" s="560">
        <v>803</v>
      </c>
      <c r="AC30" s="560">
        <v>819</v>
      </c>
      <c r="AD30" s="560">
        <v>835</v>
      </c>
    </row>
    <row r="31" spans="1:30" outlineLevel="1">
      <c r="A31" s="178"/>
      <c r="B31" s="185"/>
      <c r="C31" s="185"/>
      <c r="D31" s="185"/>
      <c r="E31" s="185"/>
      <c r="F31" s="865"/>
      <c r="G31" s="958"/>
      <c r="H31" s="525" t="s">
        <v>133</v>
      </c>
      <c r="I31" s="526"/>
      <c r="J31" s="526"/>
      <c r="K31" s="526"/>
      <c r="L31" s="526"/>
      <c r="M31" s="526"/>
      <c r="N31" s="526"/>
      <c r="O31" s="526"/>
      <c r="P31" s="211">
        <v>116</v>
      </c>
      <c r="Q31" s="117">
        <v>274</v>
      </c>
      <c r="R31" s="116">
        <v>260</v>
      </c>
      <c r="S31" s="551">
        <v>317</v>
      </c>
      <c r="T31" s="559">
        <v>332</v>
      </c>
      <c r="U31" s="560">
        <v>365</v>
      </c>
      <c r="V31" s="560">
        <v>506</v>
      </c>
      <c r="W31" s="560">
        <v>517</v>
      </c>
      <c r="X31" s="560">
        <v>527</v>
      </c>
      <c r="Y31" s="560">
        <v>537</v>
      </c>
      <c r="Z31" s="560">
        <v>548</v>
      </c>
      <c r="AA31" s="560">
        <v>559</v>
      </c>
      <c r="AB31" s="560">
        <v>570</v>
      </c>
      <c r="AC31" s="560">
        <v>582</v>
      </c>
      <c r="AD31" s="560">
        <v>593</v>
      </c>
    </row>
    <row r="32" spans="1:30" outlineLevel="1">
      <c r="A32" s="178"/>
      <c r="B32" s="185"/>
      <c r="C32" s="185"/>
      <c r="D32" s="185"/>
      <c r="E32" s="185"/>
      <c r="F32" s="865"/>
      <c r="G32" s="920"/>
      <c r="H32" s="537" t="s">
        <v>134</v>
      </c>
      <c r="I32" s="526"/>
      <c r="J32" s="526"/>
      <c r="K32" s="526"/>
      <c r="L32" s="526"/>
      <c r="M32" s="526"/>
      <c r="N32" s="526"/>
      <c r="O32" s="526"/>
      <c r="P32" s="211">
        <v>26</v>
      </c>
      <c r="Q32" s="117">
        <v>106</v>
      </c>
      <c r="R32" s="116">
        <v>86</v>
      </c>
      <c r="S32" s="551">
        <v>120</v>
      </c>
      <c r="T32" s="559">
        <v>125</v>
      </c>
      <c r="U32" s="560">
        <v>138</v>
      </c>
      <c r="V32" s="560">
        <v>192</v>
      </c>
      <c r="W32" s="560">
        <v>196</v>
      </c>
      <c r="X32" s="560">
        <v>200</v>
      </c>
      <c r="Y32" s="560">
        <v>204</v>
      </c>
      <c r="Z32" s="560">
        <v>208</v>
      </c>
      <c r="AA32" s="560">
        <v>212</v>
      </c>
      <c r="AB32" s="560">
        <v>216</v>
      </c>
      <c r="AC32" s="560">
        <v>221</v>
      </c>
      <c r="AD32" s="560">
        <v>225</v>
      </c>
    </row>
    <row r="33" spans="1:30" outlineLevel="1">
      <c r="A33" s="178"/>
      <c r="B33" s="185"/>
      <c r="C33" s="185"/>
      <c r="D33" s="185"/>
      <c r="E33" s="185"/>
      <c r="F33" s="562"/>
      <c r="G33" s="965" t="s">
        <v>38</v>
      </c>
      <c r="H33" s="879"/>
      <c r="I33" s="246">
        <f t="shared" ref="I33:O33" si="5">SUM(I23:I29)</f>
        <v>590</v>
      </c>
      <c r="J33" s="246">
        <f t="shared" si="5"/>
        <v>3356</v>
      </c>
      <c r="K33" s="246">
        <f t="shared" si="5"/>
        <v>4851</v>
      </c>
      <c r="L33" s="246">
        <f t="shared" si="5"/>
        <v>8822</v>
      </c>
      <c r="M33" s="246">
        <f t="shared" si="5"/>
        <v>13245</v>
      </c>
      <c r="N33" s="246">
        <f t="shared" si="5"/>
        <v>16019</v>
      </c>
      <c r="O33" s="246">
        <f t="shared" si="5"/>
        <v>15665</v>
      </c>
      <c r="P33" s="244">
        <f t="shared" ref="P33:AD33" si="6">SUM(P23:P32)</f>
        <v>23359</v>
      </c>
      <c r="Q33" s="244">
        <f t="shared" si="6"/>
        <v>26822</v>
      </c>
      <c r="R33" s="244">
        <f t="shared" si="6"/>
        <v>27580</v>
      </c>
      <c r="S33" s="563">
        <f t="shared" si="6"/>
        <v>22165</v>
      </c>
      <c r="T33" s="564">
        <f t="shared" si="6"/>
        <v>24869</v>
      </c>
      <c r="U33" s="244">
        <f t="shared" si="6"/>
        <v>25652</v>
      </c>
      <c r="V33" s="246">
        <f t="shared" si="6"/>
        <v>33062</v>
      </c>
      <c r="W33" s="564">
        <f t="shared" si="6"/>
        <v>33987</v>
      </c>
      <c r="X33" s="244">
        <f t="shared" si="6"/>
        <v>34955</v>
      </c>
      <c r="Y33" s="244">
        <f t="shared" si="6"/>
        <v>35860</v>
      </c>
      <c r="Z33" s="244">
        <f t="shared" si="6"/>
        <v>36922</v>
      </c>
      <c r="AA33" s="244">
        <f t="shared" si="6"/>
        <v>38012</v>
      </c>
      <c r="AB33" s="244">
        <f t="shared" si="6"/>
        <v>39185</v>
      </c>
      <c r="AC33" s="244">
        <f t="shared" si="6"/>
        <v>41072</v>
      </c>
      <c r="AD33" s="244">
        <f t="shared" si="6"/>
        <v>42891</v>
      </c>
    </row>
    <row r="34" spans="1:30" collapsed="1">
      <c r="A34" s="565"/>
      <c r="B34" s="185"/>
      <c r="C34" s="185"/>
      <c r="D34" s="185"/>
      <c r="E34" s="185"/>
      <c r="F34" s="565"/>
      <c r="G34" s="565"/>
      <c r="H34" s="565"/>
      <c r="I34" s="565"/>
      <c r="J34" s="566"/>
      <c r="K34" s="567"/>
      <c r="L34" s="567"/>
      <c r="M34" s="567"/>
      <c r="N34" s="567"/>
      <c r="O34" s="567"/>
      <c r="P34" s="567"/>
      <c r="Q34" s="567"/>
    </row>
    <row r="35" spans="1:30" ht="12.75" hidden="1" outlineLevel="1">
      <c r="A35" s="568"/>
      <c r="B35" s="178"/>
      <c r="C35" s="178"/>
      <c r="D35" s="178"/>
      <c r="E35" s="178"/>
      <c r="F35" s="966"/>
      <c r="G35" s="862"/>
      <c r="H35" s="862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69"/>
      <c r="V35" s="569"/>
      <c r="W35" s="252"/>
      <c r="X35" s="253"/>
      <c r="Y35" s="253"/>
      <c r="Z35" s="236"/>
    </row>
    <row r="36" spans="1:30" ht="12.75" hidden="1" outlineLevel="1">
      <c r="A36" s="178"/>
      <c r="B36" s="178"/>
      <c r="C36" s="178"/>
      <c r="D36" s="178"/>
      <c r="E36" s="178"/>
      <c r="F36" s="962"/>
      <c r="G36" s="967"/>
      <c r="H36" s="489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16"/>
      <c r="V36" s="199"/>
      <c r="W36" s="233"/>
      <c r="X36" s="144"/>
      <c r="Y36" s="144"/>
      <c r="Z36" s="180"/>
    </row>
    <row r="37" spans="1:30" ht="12.75" hidden="1" outlineLevel="1">
      <c r="A37" s="178"/>
      <c r="B37" s="178"/>
      <c r="C37" s="178"/>
      <c r="D37" s="178"/>
      <c r="E37" s="178"/>
      <c r="F37" s="865"/>
      <c r="G37" s="919"/>
      <c r="H37" s="496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16"/>
      <c r="V37" s="199"/>
      <c r="W37" s="233"/>
      <c r="X37" s="144"/>
      <c r="Y37" s="144"/>
      <c r="Z37" s="180"/>
    </row>
    <row r="38" spans="1:30" ht="12.75" hidden="1" outlineLevel="1">
      <c r="A38" s="178"/>
      <c r="B38" s="178"/>
      <c r="C38" s="178"/>
      <c r="D38" s="178"/>
      <c r="E38" s="178"/>
      <c r="F38" s="865"/>
      <c r="G38" s="919"/>
      <c r="H38" s="496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16"/>
      <c r="V38" s="199"/>
      <c r="W38" s="233"/>
      <c r="X38" s="144"/>
      <c r="Y38" s="144"/>
      <c r="Z38" s="180"/>
    </row>
    <row r="39" spans="1:30" ht="12.75" hidden="1" outlineLevel="1">
      <c r="A39" s="178"/>
      <c r="B39" s="178"/>
      <c r="C39" s="178"/>
      <c r="D39" s="178"/>
      <c r="E39" s="178"/>
      <c r="F39" s="865"/>
      <c r="G39" s="919"/>
      <c r="H39" s="496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16"/>
      <c r="V39" s="199"/>
      <c r="W39" s="233"/>
      <c r="X39" s="144"/>
      <c r="Y39" s="144"/>
      <c r="Z39" s="180"/>
    </row>
    <row r="40" spans="1:30" ht="12.75" hidden="1" outlineLevel="1">
      <c r="A40" s="178"/>
      <c r="B40" s="178"/>
      <c r="C40" s="178"/>
      <c r="D40" s="178"/>
      <c r="E40" s="178"/>
      <c r="F40" s="865"/>
      <c r="G40" s="968"/>
      <c r="H40" s="57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16"/>
      <c r="V40" s="199"/>
      <c r="W40" s="233"/>
      <c r="X40" s="144"/>
      <c r="Y40" s="144"/>
      <c r="Z40" s="180"/>
    </row>
    <row r="41" spans="1:30" ht="12.75" hidden="1" outlineLevel="1">
      <c r="A41" s="178"/>
      <c r="B41" s="178"/>
      <c r="C41" s="178"/>
      <c r="D41" s="178"/>
      <c r="E41" s="178"/>
      <c r="F41" s="865"/>
      <c r="G41" s="919"/>
      <c r="H41" s="505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16"/>
      <c r="V41" s="199"/>
      <c r="W41" s="233"/>
      <c r="X41" s="144"/>
      <c r="Y41" s="144"/>
      <c r="Z41" s="180"/>
    </row>
    <row r="42" spans="1:30" ht="12.75" hidden="1" outlineLevel="1">
      <c r="A42" s="178"/>
      <c r="B42" s="178"/>
      <c r="C42" s="178"/>
      <c r="D42" s="178"/>
      <c r="E42" s="178"/>
      <c r="F42" s="865"/>
      <c r="G42" s="920"/>
      <c r="H42" s="576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16"/>
      <c r="V42" s="199"/>
      <c r="W42" s="233"/>
      <c r="X42" s="144"/>
      <c r="Y42" s="144"/>
      <c r="Z42" s="180"/>
    </row>
    <row r="43" spans="1:30" hidden="1" outlineLevel="1">
      <c r="A43" s="178"/>
      <c r="B43" s="185"/>
      <c r="C43" s="185"/>
      <c r="D43" s="185"/>
      <c r="E43" s="178"/>
      <c r="F43" s="577"/>
      <c r="G43" s="969"/>
      <c r="H43" s="860"/>
      <c r="I43" s="578"/>
      <c r="J43" s="578"/>
      <c r="K43" s="578"/>
      <c r="L43" s="578"/>
      <c r="M43" s="578"/>
      <c r="N43" s="578"/>
      <c r="O43" s="578"/>
      <c r="P43" s="578"/>
      <c r="Q43" s="578"/>
      <c r="R43" s="578"/>
      <c r="S43" s="578"/>
      <c r="T43" s="578"/>
      <c r="U43" s="270"/>
      <c r="V43" s="579"/>
      <c r="W43" s="580"/>
      <c r="X43" s="578"/>
      <c r="Y43" s="578"/>
      <c r="Z43" s="186"/>
    </row>
    <row r="44" spans="1:30" hidden="1" outlineLevel="1">
      <c r="A44" s="581"/>
      <c r="B44" s="185"/>
      <c r="C44" s="185"/>
      <c r="D44" s="185"/>
      <c r="E44" s="185"/>
      <c r="F44" s="247"/>
      <c r="G44" s="970"/>
      <c r="H44" s="905"/>
      <c r="I44" s="582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582"/>
      <c r="U44" s="582"/>
      <c r="V44" s="582"/>
      <c r="W44" s="582"/>
      <c r="X44" s="582"/>
      <c r="Y44" s="582"/>
      <c r="Z44" s="565"/>
    </row>
    <row r="45" spans="1:30" hidden="1" outlineLevel="1">
      <c r="A45" s="568"/>
      <c r="B45" s="178"/>
      <c r="C45" s="178"/>
      <c r="D45" s="178"/>
      <c r="E45" s="185"/>
      <c r="F45" s="966"/>
      <c r="G45" s="862"/>
      <c r="H45" s="862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69"/>
      <c r="V45" s="569"/>
      <c r="W45" s="252"/>
      <c r="X45" s="253"/>
      <c r="Y45" s="253"/>
      <c r="Z45" s="236"/>
    </row>
    <row r="46" spans="1:30" hidden="1" outlineLevel="1">
      <c r="A46" s="178"/>
      <c r="B46" s="178"/>
      <c r="C46" s="178"/>
      <c r="D46" s="178"/>
      <c r="E46" s="185"/>
      <c r="F46" s="962"/>
      <c r="G46" s="967"/>
      <c r="H46" s="489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16"/>
      <c r="V46" s="199"/>
      <c r="W46" s="233"/>
      <c r="X46" s="144"/>
      <c r="Y46" s="144"/>
      <c r="Z46" s="180"/>
    </row>
    <row r="47" spans="1:30" hidden="1" outlineLevel="1">
      <c r="A47" s="178"/>
      <c r="B47" s="178"/>
      <c r="C47" s="178"/>
      <c r="D47" s="178"/>
      <c r="E47" s="185"/>
      <c r="F47" s="865"/>
      <c r="G47" s="919"/>
      <c r="H47" s="496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16"/>
      <c r="V47" s="199"/>
      <c r="W47" s="233"/>
      <c r="X47" s="144"/>
      <c r="Y47" s="144"/>
      <c r="Z47" s="180"/>
    </row>
    <row r="48" spans="1:30" hidden="1" outlineLevel="1">
      <c r="A48" s="178"/>
      <c r="B48" s="178"/>
      <c r="C48" s="178"/>
      <c r="D48" s="178"/>
      <c r="E48" s="185"/>
      <c r="F48" s="865"/>
      <c r="G48" s="919"/>
      <c r="H48" s="496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16"/>
      <c r="V48" s="199"/>
      <c r="W48" s="233"/>
      <c r="X48" s="144"/>
      <c r="Y48" s="144"/>
      <c r="Z48" s="180"/>
    </row>
    <row r="49" spans="1:30" hidden="1" outlineLevel="1">
      <c r="A49" s="178"/>
      <c r="B49" s="178"/>
      <c r="C49" s="178"/>
      <c r="D49" s="178"/>
      <c r="E49" s="185"/>
      <c r="F49" s="865"/>
      <c r="G49" s="919"/>
      <c r="H49" s="496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16"/>
      <c r="V49" s="199"/>
      <c r="W49" s="233"/>
      <c r="X49" s="144"/>
      <c r="Y49" s="144"/>
      <c r="Z49" s="180"/>
    </row>
    <row r="50" spans="1:30" hidden="1" outlineLevel="1">
      <c r="A50" s="178"/>
      <c r="B50" s="178"/>
      <c r="C50" s="178"/>
      <c r="D50" s="178"/>
      <c r="E50" s="185"/>
      <c r="F50" s="865"/>
      <c r="G50" s="968"/>
      <c r="H50" s="57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16"/>
      <c r="V50" s="199"/>
      <c r="W50" s="233"/>
      <c r="X50" s="144"/>
      <c r="Y50" s="144"/>
      <c r="Z50" s="180"/>
    </row>
    <row r="51" spans="1:30" hidden="1" outlineLevel="1">
      <c r="A51" s="178"/>
      <c r="B51" s="178"/>
      <c r="C51" s="178"/>
      <c r="D51" s="178"/>
      <c r="E51" s="185"/>
      <c r="F51" s="865"/>
      <c r="G51" s="919"/>
      <c r="H51" s="505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16"/>
      <c r="V51" s="199"/>
      <c r="W51" s="233"/>
      <c r="X51" s="144"/>
      <c r="Y51" s="144"/>
      <c r="Z51" s="180"/>
    </row>
    <row r="52" spans="1:30" hidden="1" outlineLevel="1">
      <c r="A52" s="178"/>
      <c r="B52" s="178"/>
      <c r="C52" s="178"/>
      <c r="D52" s="178"/>
      <c r="E52" s="185"/>
      <c r="F52" s="865"/>
      <c r="G52" s="920"/>
      <c r="H52" s="576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16"/>
      <c r="V52" s="199"/>
      <c r="W52" s="233"/>
      <c r="X52" s="144"/>
      <c r="Y52" s="144"/>
      <c r="Z52" s="180"/>
    </row>
    <row r="53" spans="1:30" hidden="1" outlineLevel="1">
      <c r="A53" s="178"/>
      <c r="B53" s="185"/>
      <c r="C53" s="185"/>
      <c r="D53" s="185"/>
      <c r="E53" s="185"/>
      <c r="F53" s="577"/>
      <c r="G53" s="969"/>
      <c r="H53" s="860"/>
      <c r="I53" s="578"/>
      <c r="J53" s="578"/>
      <c r="K53" s="578"/>
      <c r="L53" s="578"/>
      <c r="M53" s="578"/>
      <c r="N53" s="578"/>
      <c r="O53" s="578"/>
      <c r="P53" s="578"/>
      <c r="Q53" s="578"/>
      <c r="R53" s="578"/>
      <c r="S53" s="578"/>
      <c r="T53" s="578"/>
      <c r="U53" s="270"/>
      <c r="V53" s="579"/>
      <c r="W53" s="580"/>
      <c r="X53" s="578"/>
      <c r="Y53" s="578"/>
      <c r="Z53" s="186"/>
    </row>
    <row r="54" spans="1:30" ht="12.75" hidden="1" outlineLevel="1"/>
    <row r="55" spans="1:30" collapsed="1">
      <c r="A55" s="581"/>
      <c r="B55" s="185"/>
      <c r="C55" s="185"/>
      <c r="D55" s="185"/>
      <c r="E55" s="185"/>
      <c r="F55" s="247"/>
      <c r="G55" s="970"/>
      <c r="H55" s="905"/>
      <c r="I55" s="582"/>
      <c r="J55" s="582"/>
      <c r="K55" s="582"/>
      <c r="L55" s="582"/>
      <c r="M55" s="582"/>
      <c r="N55" s="582"/>
      <c r="O55" s="582"/>
      <c r="P55" s="582"/>
      <c r="Q55" s="582"/>
      <c r="R55" s="582"/>
      <c r="S55" s="582"/>
      <c r="T55" s="582"/>
      <c r="U55" s="582"/>
      <c r="V55" s="582"/>
      <c r="W55" s="582"/>
      <c r="X55" s="582"/>
      <c r="Y55" s="582"/>
      <c r="Z55" s="582"/>
    </row>
    <row r="56" spans="1:30" hidden="1" outlineLevel="1">
      <c r="A56" s="568" t="s">
        <v>185</v>
      </c>
      <c r="B56" s="178" t="s">
        <v>300</v>
      </c>
      <c r="C56" s="178" t="s">
        <v>301</v>
      </c>
      <c r="D56" s="178" t="s">
        <v>220</v>
      </c>
      <c r="E56" s="185"/>
      <c r="F56" s="966" t="s">
        <v>140</v>
      </c>
      <c r="G56" s="862"/>
      <c r="H56" s="862"/>
      <c r="I56" s="253" t="s">
        <v>25</v>
      </c>
      <c r="J56" s="253" t="s">
        <v>14</v>
      </c>
      <c r="K56" s="253" t="s">
        <v>15</v>
      </c>
      <c r="L56" s="253" t="s">
        <v>16</v>
      </c>
      <c r="M56" s="253" t="s">
        <v>17</v>
      </c>
      <c r="N56" s="253" t="s">
        <v>18</v>
      </c>
      <c r="O56" s="269" t="s">
        <v>19</v>
      </c>
      <c r="P56" s="269" t="s">
        <v>20</v>
      </c>
      <c r="Q56" s="269" t="s">
        <v>21</v>
      </c>
      <c r="R56" s="269" t="s">
        <v>22</v>
      </c>
      <c r="S56" s="586" t="s">
        <v>23</v>
      </c>
      <c r="T56" s="252" t="s">
        <v>179</v>
      </c>
      <c r="U56" s="269" t="s">
        <v>25</v>
      </c>
      <c r="V56" s="253" t="s">
        <v>14</v>
      </c>
      <c r="W56" s="252" t="s">
        <v>15</v>
      </c>
      <c r="X56" s="252" t="s">
        <v>16</v>
      </c>
      <c r="Y56" s="253" t="s">
        <v>17</v>
      </c>
      <c r="Z56" s="253" t="s">
        <v>18</v>
      </c>
      <c r="AA56" s="253" t="s">
        <v>19</v>
      </c>
      <c r="AB56" s="253" t="s">
        <v>20</v>
      </c>
      <c r="AC56" s="253" t="s">
        <v>21</v>
      </c>
      <c r="AD56" s="253" t="s">
        <v>22</v>
      </c>
    </row>
    <row r="57" spans="1:30" ht="14.25" hidden="1" outlineLevel="1">
      <c r="A57" s="178" t="e">
        <f t="shared" ref="A57:A63" si="7">B57+C57-D57</f>
        <v>#VALUE!</v>
      </c>
      <c r="B57" s="178" t="s">
        <v>676</v>
      </c>
      <c r="C57" s="178">
        <f>SUMIF(직구재고!B:B,E57,직구재고!J:J)</f>
        <v>5344</v>
      </c>
      <c r="D57" s="178"/>
      <c r="E57" s="592">
        <v>4056631001202</v>
      </c>
      <c r="F57" s="963" t="s">
        <v>140</v>
      </c>
      <c r="G57" s="956" t="s">
        <v>27</v>
      </c>
      <c r="H57" s="489" t="s">
        <v>110</v>
      </c>
      <c r="I57" s="144">
        <f t="shared" ref="I57:I63" si="8">I7-I23</f>
        <v>3366</v>
      </c>
      <c r="J57" s="144">
        <f t="shared" ref="J57:O57" si="9">I57+J7-J23</f>
        <v>6788</v>
      </c>
      <c r="K57" s="144">
        <f t="shared" si="9"/>
        <v>6721</v>
      </c>
      <c r="L57" s="144">
        <f t="shared" si="9"/>
        <v>6571</v>
      </c>
      <c r="M57" s="144">
        <f t="shared" si="9"/>
        <v>6321</v>
      </c>
      <c r="N57" s="144">
        <f t="shared" si="9"/>
        <v>7564</v>
      </c>
      <c r="O57" s="116">
        <f t="shared" si="9"/>
        <v>7222</v>
      </c>
      <c r="P57" s="116">
        <v>6997</v>
      </c>
      <c r="Q57" s="116">
        <f t="shared" ref="Q57:Q59" si="10">P57+Q7-Q23</f>
        <v>6432</v>
      </c>
      <c r="R57" s="116">
        <v>5958</v>
      </c>
      <c r="S57" s="551">
        <f t="shared" ref="S57:U57" si="11">R57+S7-S23</f>
        <v>5247</v>
      </c>
      <c r="T57" s="233">
        <f t="shared" si="11"/>
        <v>4713</v>
      </c>
      <c r="U57" s="116">
        <f t="shared" si="11"/>
        <v>4163</v>
      </c>
      <c r="V57" s="263">
        <v>1600</v>
      </c>
      <c r="W57" s="233">
        <f t="shared" ref="W57:AD57" si="12">V57+W7-W23</f>
        <v>937</v>
      </c>
      <c r="X57" s="233">
        <f t="shared" si="12"/>
        <v>255</v>
      </c>
      <c r="Y57" s="144">
        <f t="shared" si="12"/>
        <v>1716</v>
      </c>
      <c r="Z57" s="144">
        <f t="shared" si="12"/>
        <v>996</v>
      </c>
      <c r="AA57" s="144">
        <f t="shared" si="12"/>
        <v>254</v>
      </c>
      <c r="AB57" s="144">
        <f t="shared" si="12"/>
        <v>-510</v>
      </c>
      <c r="AC57" s="144">
        <f t="shared" si="12"/>
        <v>-1305</v>
      </c>
      <c r="AD57" s="144">
        <f t="shared" si="12"/>
        <v>-2124</v>
      </c>
    </row>
    <row r="58" spans="1:30" ht="14.25" hidden="1" outlineLevel="1">
      <c r="A58" s="178" t="e">
        <f t="shared" si="7"/>
        <v>#VALUE!</v>
      </c>
      <c r="B58" s="178" t="s">
        <v>676</v>
      </c>
      <c r="C58" s="178">
        <f>SUMIF(직구재고!B:B,E58,직구재고!J:J)</f>
        <v>10474</v>
      </c>
      <c r="D58" s="178"/>
      <c r="E58" s="592">
        <v>4056631001226</v>
      </c>
      <c r="F58" s="865"/>
      <c r="G58" s="919"/>
      <c r="H58" s="496">
        <v>1</v>
      </c>
      <c r="I58" s="144">
        <f t="shared" si="8"/>
        <v>2582</v>
      </c>
      <c r="J58" s="144">
        <f t="shared" ref="J58:O58" si="13">I58+J8-J24</f>
        <v>5144</v>
      </c>
      <c r="K58" s="144">
        <f t="shared" si="13"/>
        <v>4828</v>
      </c>
      <c r="L58" s="144">
        <f t="shared" si="13"/>
        <v>3996</v>
      </c>
      <c r="M58" s="144">
        <f t="shared" si="13"/>
        <v>2767</v>
      </c>
      <c r="N58" s="144">
        <f t="shared" si="13"/>
        <v>3103</v>
      </c>
      <c r="O58" s="116">
        <f t="shared" si="13"/>
        <v>2170</v>
      </c>
      <c r="P58" s="116">
        <v>1763</v>
      </c>
      <c r="Q58" s="116">
        <f t="shared" si="10"/>
        <v>1019</v>
      </c>
      <c r="R58" s="116">
        <v>6001</v>
      </c>
      <c r="S58" s="551">
        <f t="shared" ref="S58:AD58" si="14">R58+S8-S24</f>
        <v>10420</v>
      </c>
      <c r="T58" s="233">
        <f t="shared" si="14"/>
        <v>9833</v>
      </c>
      <c r="U58" s="116">
        <f t="shared" si="14"/>
        <v>9243</v>
      </c>
      <c r="V58" s="144">
        <f t="shared" si="14"/>
        <v>8566</v>
      </c>
      <c r="W58" s="233">
        <f t="shared" si="14"/>
        <v>7878</v>
      </c>
      <c r="X58" s="233">
        <f t="shared" si="14"/>
        <v>7177</v>
      </c>
      <c r="Y58" s="144">
        <f t="shared" si="14"/>
        <v>6456</v>
      </c>
      <c r="Z58" s="144">
        <f t="shared" si="14"/>
        <v>5713</v>
      </c>
      <c r="AA58" s="144">
        <f t="shared" si="14"/>
        <v>4948</v>
      </c>
      <c r="AB58" s="144">
        <f t="shared" si="14"/>
        <v>4160</v>
      </c>
      <c r="AC58" s="144">
        <f t="shared" si="14"/>
        <v>3340</v>
      </c>
      <c r="AD58" s="144">
        <f t="shared" si="14"/>
        <v>2496</v>
      </c>
    </row>
    <row r="59" spans="1:30" ht="14.25" hidden="1" outlineLevel="1">
      <c r="A59" s="178" t="e">
        <f t="shared" si="7"/>
        <v>#VALUE!</v>
      </c>
      <c r="B59" s="178" t="s">
        <v>676</v>
      </c>
      <c r="C59" s="178">
        <f>SUMIF(직구재고!B:B,E59,직구재고!J:J)</f>
        <v>3709</v>
      </c>
      <c r="D59" s="178"/>
      <c r="E59" s="592">
        <v>4056631001240</v>
      </c>
      <c r="F59" s="865"/>
      <c r="G59" s="919"/>
      <c r="H59" s="496">
        <v>2</v>
      </c>
      <c r="I59" s="144">
        <f t="shared" si="8"/>
        <v>4394</v>
      </c>
      <c r="J59" s="144">
        <f t="shared" ref="J59:O59" si="15">I59+J9-J25</f>
        <v>8646</v>
      </c>
      <c r="K59" s="144">
        <f t="shared" si="15"/>
        <v>8485</v>
      </c>
      <c r="L59" s="144">
        <f t="shared" si="15"/>
        <v>8210</v>
      </c>
      <c r="M59" s="144">
        <f t="shared" si="15"/>
        <v>7449</v>
      </c>
      <c r="N59" s="144">
        <f t="shared" si="15"/>
        <v>9136</v>
      </c>
      <c r="O59" s="116">
        <f t="shared" si="15"/>
        <v>7669</v>
      </c>
      <c r="P59" s="116">
        <v>7279</v>
      </c>
      <c r="Q59" s="116">
        <f t="shared" si="10"/>
        <v>5943</v>
      </c>
      <c r="R59" s="116">
        <v>4737</v>
      </c>
      <c r="S59" s="551">
        <f t="shared" ref="S59:AD59" si="16">R59+S9-S25</f>
        <v>3711</v>
      </c>
      <c r="T59" s="233">
        <f t="shared" si="16"/>
        <v>7257</v>
      </c>
      <c r="U59" s="116">
        <f t="shared" si="16"/>
        <v>5641</v>
      </c>
      <c r="V59" s="144">
        <f t="shared" si="16"/>
        <v>9707</v>
      </c>
      <c r="W59" s="233">
        <f t="shared" si="16"/>
        <v>7796</v>
      </c>
      <c r="X59" s="233">
        <f t="shared" si="16"/>
        <v>5830</v>
      </c>
      <c r="Y59" s="144">
        <f t="shared" si="16"/>
        <v>7587</v>
      </c>
      <c r="Z59" s="144">
        <f t="shared" si="16"/>
        <v>5503</v>
      </c>
      <c r="AA59" s="144">
        <f t="shared" si="16"/>
        <v>3357</v>
      </c>
      <c r="AB59" s="144">
        <f t="shared" si="16"/>
        <v>1104</v>
      </c>
      <c r="AC59" s="144">
        <f t="shared" si="16"/>
        <v>-1307</v>
      </c>
      <c r="AD59" s="144">
        <f t="shared" si="16"/>
        <v>-3959</v>
      </c>
    </row>
    <row r="60" spans="1:30" ht="14.25" hidden="1" outlineLevel="1">
      <c r="A60" s="178" t="e">
        <f t="shared" si="7"/>
        <v>#VALUE!</v>
      </c>
      <c r="B60" s="178" t="s">
        <v>676</v>
      </c>
      <c r="C60" s="178">
        <f>SUMIF(직구재고!B:B,E60,직구재고!J:J)</f>
        <v>2808</v>
      </c>
      <c r="D60" s="178"/>
      <c r="E60" s="592">
        <v>4056631001264</v>
      </c>
      <c r="F60" s="865"/>
      <c r="G60" s="919"/>
      <c r="H60" s="496">
        <v>3</v>
      </c>
      <c r="I60" s="144">
        <f t="shared" si="8"/>
        <v>810</v>
      </c>
      <c r="J60" s="144">
        <f t="shared" ref="J60:O60" si="17">I60+J10-J26</f>
        <v>1616</v>
      </c>
      <c r="K60" s="144">
        <f t="shared" si="17"/>
        <v>1608</v>
      </c>
      <c r="L60" s="144">
        <f t="shared" si="17"/>
        <v>1584</v>
      </c>
      <c r="M60" s="144">
        <f t="shared" si="17"/>
        <v>1352</v>
      </c>
      <c r="N60" s="144">
        <f t="shared" si="17"/>
        <v>1685</v>
      </c>
      <c r="O60" s="116">
        <f t="shared" si="17"/>
        <v>1327</v>
      </c>
      <c r="P60" s="116">
        <v>1488</v>
      </c>
      <c r="Q60" s="116">
        <f>P60+Q9-Q26</f>
        <v>1402</v>
      </c>
      <c r="R60" s="116">
        <v>1308</v>
      </c>
      <c r="S60" s="551">
        <f t="shared" ref="S60:AD60" si="18">R60+S10-S26</f>
        <v>2032</v>
      </c>
      <c r="T60" s="233">
        <f t="shared" si="18"/>
        <v>2754</v>
      </c>
      <c r="U60" s="116">
        <f t="shared" si="18"/>
        <v>2663</v>
      </c>
      <c r="V60" s="144">
        <f t="shared" si="18"/>
        <v>2556</v>
      </c>
      <c r="W60" s="233">
        <f t="shared" si="18"/>
        <v>2446</v>
      </c>
      <c r="X60" s="233">
        <f t="shared" si="18"/>
        <v>2333</v>
      </c>
      <c r="Y60" s="144">
        <f t="shared" si="18"/>
        <v>2217</v>
      </c>
      <c r="Z60" s="144">
        <f t="shared" si="18"/>
        <v>2097</v>
      </c>
      <c r="AA60" s="144">
        <f t="shared" si="18"/>
        <v>1974</v>
      </c>
      <c r="AB60" s="144">
        <f t="shared" si="18"/>
        <v>1842</v>
      </c>
      <c r="AC60" s="144">
        <f t="shared" si="18"/>
        <v>1697</v>
      </c>
      <c r="AD60" s="144">
        <f t="shared" si="18"/>
        <v>1543</v>
      </c>
    </row>
    <row r="61" spans="1:30" ht="14.25" hidden="1" outlineLevel="1">
      <c r="A61" s="178" t="e">
        <f t="shared" si="7"/>
        <v>#VALUE!</v>
      </c>
      <c r="B61" s="178" t="s">
        <v>676</v>
      </c>
      <c r="C61" s="178">
        <f>SUMIF(직구재고!B:B,E61,직구재고!J:J)</f>
        <v>15352</v>
      </c>
      <c r="D61" s="178"/>
      <c r="E61" s="592">
        <v>4056631003435</v>
      </c>
      <c r="F61" s="865"/>
      <c r="G61" s="971" t="s">
        <v>32</v>
      </c>
      <c r="H61" s="574" t="s">
        <v>110</v>
      </c>
      <c r="I61" s="144">
        <f t="shared" si="8"/>
        <v>2504</v>
      </c>
      <c r="J61" s="144">
        <f t="shared" ref="J61:O61" si="19">I61+J11-J27</f>
        <v>8552</v>
      </c>
      <c r="K61" s="144">
        <f t="shared" si="19"/>
        <v>6840</v>
      </c>
      <c r="L61" s="144">
        <f t="shared" si="19"/>
        <v>19178</v>
      </c>
      <c r="M61" s="144">
        <f t="shared" si="19"/>
        <v>25146</v>
      </c>
      <c r="N61" s="144">
        <f t="shared" si="19"/>
        <v>20389</v>
      </c>
      <c r="O61" s="116">
        <f t="shared" si="19"/>
        <v>35886</v>
      </c>
      <c r="P61" s="116">
        <v>29847</v>
      </c>
      <c r="Q61" s="116">
        <f t="shared" ref="Q61:Q66" si="20">P61+Q11-Q27</f>
        <v>25236</v>
      </c>
      <c r="R61" s="116">
        <v>20123</v>
      </c>
      <c r="S61" s="551">
        <f t="shared" ref="S61:AD61" si="21">R61+S11-S27</f>
        <v>20574</v>
      </c>
      <c r="T61" s="233">
        <f t="shared" si="21"/>
        <v>32863</v>
      </c>
      <c r="U61" s="116">
        <f t="shared" si="21"/>
        <v>35472</v>
      </c>
      <c r="V61" s="144">
        <f t="shared" si="21"/>
        <v>36170</v>
      </c>
      <c r="W61" s="233">
        <f t="shared" si="21"/>
        <v>29380</v>
      </c>
      <c r="X61" s="233">
        <f t="shared" si="21"/>
        <v>22392</v>
      </c>
      <c r="Y61" s="144">
        <f t="shared" si="21"/>
        <v>17911</v>
      </c>
      <c r="Z61" s="144">
        <f t="shared" si="21"/>
        <v>10527</v>
      </c>
      <c r="AA61" s="144">
        <f t="shared" si="21"/>
        <v>2922</v>
      </c>
      <c r="AB61" s="144">
        <f t="shared" si="21"/>
        <v>-4911</v>
      </c>
      <c r="AC61" s="144">
        <f t="shared" si="21"/>
        <v>-13214</v>
      </c>
      <c r="AD61" s="144">
        <f t="shared" si="21"/>
        <v>-21932</v>
      </c>
    </row>
    <row r="62" spans="1:30" ht="14.25" hidden="1" outlineLevel="1">
      <c r="A62" s="178" t="e">
        <f t="shared" si="7"/>
        <v>#VALUE!</v>
      </c>
      <c r="B62" s="178" t="s">
        <v>676</v>
      </c>
      <c r="C62" s="178">
        <f>SUMIF(직구재고!B:B,E62,직구재고!J:J)</f>
        <v>14338</v>
      </c>
      <c r="D62" s="178"/>
      <c r="E62" s="592">
        <v>4056631003459</v>
      </c>
      <c r="F62" s="865"/>
      <c r="G62" s="919"/>
      <c r="H62" s="505">
        <v>1</v>
      </c>
      <c r="I62" s="144">
        <f t="shared" si="8"/>
        <v>2430</v>
      </c>
      <c r="J62" s="144">
        <f t="shared" ref="J62:O62" si="22">I62+J12-J28</f>
        <v>8376</v>
      </c>
      <c r="K62" s="144">
        <f t="shared" si="22"/>
        <v>13392</v>
      </c>
      <c r="L62" s="144">
        <f t="shared" si="22"/>
        <v>9237</v>
      </c>
      <c r="M62" s="144">
        <f t="shared" si="22"/>
        <v>12488</v>
      </c>
      <c r="N62" s="144">
        <f t="shared" si="22"/>
        <v>6465</v>
      </c>
      <c r="O62" s="116">
        <f t="shared" si="22"/>
        <v>27822</v>
      </c>
      <c r="P62" s="116">
        <v>20729</v>
      </c>
      <c r="Q62" s="116">
        <f t="shared" si="20"/>
        <v>29880</v>
      </c>
      <c r="R62" s="116">
        <v>21804</v>
      </c>
      <c r="S62" s="551">
        <f t="shared" ref="S62:AD62" si="23">R62+S12-S28</f>
        <v>17559</v>
      </c>
      <c r="T62" s="233">
        <f t="shared" si="23"/>
        <v>24859</v>
      </c>
      <c r="U62" s="116">
        <f t="shared" si="23"/>
        <v>34410</v>
      </c>
      <c r="V62" s="144">
        <f t="shared" si="23"/>
        <v>38831</v>
      </c>
      <c r="W62" s="233">
        <f t="shared" si="23"/>
        <v>37952</v>
      </c>
      <c r="X62" s="233">
        <f t="shared" si="23"/>
        <v>26773</v>
      </c>
      <c r="Y62" s="144">
        <f t="shared" si="23"/>
        <v>30664</v>
      </c>
      <c r="Z62" s="144">
        <f t="shared" si="23"/>
        <v>18851</v>
      </c>
      <c r="AA62" s="144">
        <f t="shared" si="23"/>
        <v>6684</v>
      </c>
      <c r="AB62" s="144">
        <f t="shared" si="23"/>
        <v>-5848</v>
      </c>
      <c r="AC62" s="144">
        <f t="shared" si="23"/>
        <v>-19132</v>
      </c>
      <c r="AD62" s="144">
        <f t="shared" si="23"/>
        <v>-33080</v>
      </c>
    </row>
    <row r="63" spans="1:30" ht="14.25" hidden="1" outlineLevel="1">
      <c r="A63" s="178" t="e">
        <f t="shared" si="7"/>
        <v>#VALUE!</v>
      </c>
      <c r="B63" s="178" t="s">
        <v>676</v>
      </c>
      <c r="C63" s="178">
        <f>SUMIF(직구재고!B:B,E63,직구재고!J:J)</f>
        <v>49701</v>
      </c>
      <c r="D63" s="178"/>
      <c r="E63" s="592">
        <v>4056631003473</v>
      </c>
      <c r="F63" s="865"/>
      <c r="G63" s="919"/>
      <c r="H63" s="505">
        <v>2</v>
      </c>
      <c r="I63" s="233">
        <f t="shared" si="8"/>
        <v>2962</v>
      </c>
      <c r="J63" s="144">
        <f t="shared" ref="J63:O63" si="24">I63+J13-J29</f>
        <v>12486</v>
      </c>
      <c r="K63" s="144">
        <f t="shared" si="24"/>
        <v>30227</v>
      </c>
      <c r="L63" s="144">
        <f t="shared" si="24"/>
        <v>48295</v>
      </c>
      <c r="M63" s="144">
        <f t="shared" si="24"/>
        <v>62095</v>
      </c>
      <c r="N63" s="144">
        <f t="shared" si="24"/>
        <v>59197</v>
      </c>
      <c r="O63" s="116">
        <f t="shared" si="24"/>
        <v>86962</v>
      </c>
      <c r="P63" s="116">
        <v>79250</v>
      </c>
      <c r="Q63" s="116">
        <f t="shared" si="20"/>
        <v>67527</v>
      </c>
      <c r="R63" s="116">
        <v>56109</v>
      </c>
      <c r="S63" s="551">
        <f t="shared" ref="S63:AD63" si="25">R63+S13-S29</f>
        <v>49603</v>
      </c>
      <c r="T63" s="233">
        <f t="shared" si="25"/>
        <v>41249</v>
      </c>
      <c r="U63" s="116">
        <f t="shared" si="25"/>
        <v>32644</v>
      </c>
      <c r="V63" s="144">
        <f t="shared" si="25"/>
        <v>32968</v>
      </c>
      <c r="W63" s="233">
        <f t="shared" si="25"/>
        <v>42950</v>
      </c>
      <c r="X63" s="233">
        <f t="shared" si="25"/>
        <v>31093</v>
      </c>
      <c r="Y63" s="144">
        <f t="shared" si="25"/>
        <v>33519</v>
      </c>
      <c r="Z63" s="144">
        <f t="shared" si="25"/>
        <v>20989</v>
      </c>
      <c r="AA63" s="144">
        <f t="shared" si="25"/>
        <v>8083</v>
      </c>
      <c r="AB63" s="144">
        <f t="shared" si="25"/>
        <v>-5211</v>
      </c>
      <c r="AC63" s="144">
        <f t="shared" si="25"/>
        <v>-18903</v>
      </c>
      <c r="AD63" s="144">
        <f t="shared" si="25"/>
        <v>-33006</v>
      </c>
    </row>
    <row r="64" spans="1:30" ht="14.25" hidden="1" outlineLevel="1">
      <c r="A64" s="178"/>
      <c r="B64" s="178"/>
      <c r="C64" s="178"/>
      <c r="D64" s="178"/>
      <c r="E64" s="592"/>
      <c r="F64" s="865"/>
      <c r="G64" s="920"/>
      <c r="H64" s="518" t="s">
        <v>295</v>
      </c>
      <c r="I64" s="144"/>
      <c r="J64" s="144"/>
      <c r="K64" s="144"/>
      <c r="L64" s="144"/>
      <c r="M64" s="144"/>
      <c r="N64" s="144">
        <f t="shared" ref="N64:O64" si="26">M64+N14-N30</f>
        <v>0</v>
      </c>
      <c r="O64" s="116">
        <f t="shared" si="26"/>
        <v>0</v>
      </c>
      <c r="P64" s="116">
        <v>1532</v>
      </c>
      <c r="Q64" s="116">
        <f t="shared" si="20"/>
        <v>3052</v>
      </c>
      <c r="R64" s="116">
        <v>2660</v>
      </c>
      <c r="S64" s="551">
        <f t="shared" ref="S64:AD64" si="27">R64+S14-S30</f>
        <v>2214</v>
      </c>
      <c r="T64" s="233">
        <f t="shared" si="27"/>
        <v>2944</v>
      </c>
      <c r="U64" s="116">
        <f t="shared" si="27"/>
        <v>2431</v>
      </c>
      <c r="V64" s="144">
        <f t="shared" si="27"/>
        <v>1718</v>
      </c>
      <c r="W64" s="233">
        <f t="shared" si="27"/>
        <v>3295</v>
      </c>
      <c r="X64" s="233">
        <f t="shared" si="27"/>
        <v>2553</v>
      </c>
      <c r="Y64" s="144">
        <f t="shared" si="27"/>
        <v>2949</v>
      </c>
      <c r="Z64" s="144">
        <f t="shared" si="27"/>
        <v>2177</v>
      </c>
      <c r="AA64" s="144">
        <f t="shared" si="27"/>
        <v>1390</v>
      </c>
      <c r="AB64" s="144">
        <f t="shared" si="27"/>
        <v>587</v>
      </c>
      <c r="AC64" s="144">
        <f t="shared" si="27"/>
        <v>-232</v>
      </c>
      <c r="AD64" s="144">
        <f t="shared" si="27"/>
        <v>-1067</v>
      </c>
    </row>
    <row r="65" spans="1:30" hidden="1" outlineLevel="1">
      <c r="A65" s="178"/>
      <c r="B65" s="185"/>
      <c r="C65" s="185"/>
      <c r="D65" s="185"/>
      <c r="E65" s="185"/>
      <c r="F65" s="865"/>
      <c r="G65" s="958"/>
      <c r="H65" s="525" t="s">
        <v>133</v>
      </c>
      <c r="I65" s="526"/>
      <c r="J65" s="526"/>
      <c r="K65" s="526"/>
      <c r="L65" s="526"/>
      <c r="M65" s="526"/>
      <c r="N65" s="526"/>
      <c r="O65" s="116">
        <f t="shared" ref="O65:O66" si="28">N65+O15-O31</f>
        <v>0</v>
      </c>
      <c r="P65" s="116">
        <v>916</v>
      </c>
      <c r="Q65" s="116">
        <f t="shared" si="20"/>
        <v>642</v>
      </c>
      <c r="R65" s="116">
        <v>382</v>
      </c>
      <c r="S65" s="551">
        <f t="shared" ref="S65:AD65" si="29">R65+S15-S31</f>
        <v>65</v>
      </c>
      <c r="T65" s="233">
        <f t="shared" si="29"/>
        <v>-267</v>
      </c>
      <c r="U65" s="116">
        <f t="shared" si="29"/>
        <v>-632</v>
      </c>
      <c r="V65" s="144">
        <f t="shared" si="29"/>
        <v>1886</v>
      </c>
      <c r="W65" s="233">
        <f t="shared" si="29"/>
        <v>1369</v>
      </c>
      <c r="X65" s="233">
        <f t="shared" si="29"/>
        <v>842</v>
      </c>
      <c r="Y65" s="144">
        <f t="shared" si="29"/>
        <v>2321</v>
      </c>
      <c r="Z65" s="144">
        <f t="shared" si="29"/>
        <v>1773</v>
      </c>
      <c r="AA65" s="144">
        <f t="shared" si="29"/>
        <v>1214</v>
      </c>
      <c r="AB65" s="144">
        <f t="shared" si="29"/>
        <v>644</v>
      </c>
      <c r="AC65" s="144">
        <f t="shared" si="29"/>
        <v>62</v>
      </c>
      <c r="AD65" s="144">
        <f t="shared" si="29"/>
        <v>-531</v>
      </c>
    </row>
    <row r="66" spans="1:30" hidden="1" outlineLevel="1">
      <c r="A66" s="178"/>
      <c r="B66" s="185"/>
      <c r="C66" s="185"/>
      <c r="D66" s="185"/>
      <c r="E66" s="185"/>
      <c r="F66" s="865"/>
      <c r="G66" s="920"/>
      <c r="H66" s="537" t="s">
        <v>134</v>
      </c>
      <c r="I66" s="526"/>
      <c r="J66" s="526"/>
      <c r="K66" s="526"/>
      <c r="L66" s="526"/>
      <c r="M66" s="526"/>
      <c r="N66" s="526"/>
      <c r="O66" s="116">
        <f t="shared" si="28"/>
        <v>0</v>
      </c>
      <c r="P66" s="116">
        <v>990</v>
      </c>
      <c r="Q66" s="116">
        <f t="shared" si="20"/>
        <v>884</v>
      </c>
      <c r="R66" s="116">
        <v>798</v>
      </c>
      <c r="S66" s="551">
        <f t="shared" ref="S66:AD66" si="30">R66+S16-S32</f>
        <v>678</v>
      </c>
      <c r="T66" s="233">
        <f t="shared" si="30"/>
        <v>553</v>
      </c>
      <c r="U66" s="116">
        <f t="shared" si="30"/>
        <v>415</v>
      </c>
      <c r="V66" s="144">
        <f t="shared" si="30"/>
        <v>1231</v>
      </c>
      <c r="W66" s="233">
        <f t="shared" si="30"/>
        <v>1035</v>
      </c>
      <c r="X66" s="233">
        <f t="shared" si="30"/>
        <v>835</v>
      </c>
      <c r="Y66" s="144">
        <f t="shared" si="30"/>
        <v>631</v>
      </c>
      <c r="Z66" s="144">
        <f t="shared" si="30"/>
        <v>423</v>
      </c>
      <c r="AA66" s="144">
        <f t="shared" si="30"/>
        <v>211</v>
      </c>
      <c r="AB66" s="144">
        <f t="shared" si="30"/>
        <v>-5</v>
      </c>
      <c r="AC66" s="144">
        <f t="shared" si="30"/>
        <v>-226</v>
      </c>
      <c r="AD66" s="144">
        <f t="shared" si="30"/>
        <v>-451</v>
      </c>
    </row>
    <row r="67" spans="1:30" hidden="1" outlineLevel="1">
      <c r="A67" s="178"/>
      <c r="B67" s="185"/>
      <c r="C67" s="185"/>
      <c r="D67" s="185"/>
      <c r="E67" s="185"/>
      <c r="F67" s="577"/>
      <c r="G67" s="969" t="s">
        <v>38</v>
      </c>
      <c r="H67" s="860"/>
      <c r="I67" s="578">
        <f t="shared" ref="I67:O67" si="31">SUM(I57:I63)</f>
        <v>19048</v>
      </c>
      <c r="J67" s="578">
        <f t="shared" si="31"/>
        <v>51608</v>
      </c>
      <c r="K67" s="578">
        <f t="shared" si="31"/>
        <v>72101</v>
      </c>
      <c r="L67" s="578">
        <f t="shared" si="31"/>
        <v>97071</v>
      </c>
      <c r="M67" s="578">
        <f t="shared" si="31"/>
        <v>117618</v>
      </c>
      <c r="N67" s="578">
        <f t="shared" si="31"/>
        <v>107539</v>
      </c>
      <c r="O67" s="270">
        <f t="shared" si="31"/>
        <v>169058</v>
      </c>
      <c r="P67" s="270">
        <f t="shared" ref="P67:AD67" si="32">SUM(P57:P66)</f>
        <v>150791</v>
      </c>
      <c r="Q67" s="270">
        <f t="shared" si="32"/>
        <v>142017</v>
      </c>
      <c r="R67" s="270">
        <f t="shared" si="32"/>
        <v>119880</v>
      </c>
      <c r="S67" s="617">
        <f t="shared" si="32"/>
        <v>112103</v>
      </c>
      <c r="T67" s="272">
        <f t="shared" si="32"/>
        <v>126758</v>
      </c>
      <c r="U67" s="270">
        <f t="shared" si="32"/>
        <v>126450</v>
      </c>
      <c r="V67" s="578">
        <f t="shared" si="32"/>
        <v>135233</v>
      </c>
      <c r="W67" s="272">
        <f t="shared" si="32"/>
        <v>135038</v>
      </c>
      <c r="X67" s="270">
        <f t="shared" si="32"/>
        <v>100083</v>
      </c>
      <c r="Y67" s="270">
        <f t="shared" si="32"/>
        <v>105971</v>
      </c>
      <c r="Z67" s="270">
        <f t="shared" si="32"/>
        <v>69049</v>
      </c>
      <c r="AA67" s="270">
        <f t="shared" si="32"/>
        <v>31037</v>
      </c>
      <c r="AB67" s="270">
        <f t="shared" si="32"/>
        <v>-8148</v>
      </c>
      <c r="AC67" s="270">
        <f t="shared" si="32"/>
        <v>-49220</v>
      </c>
      <c r="AD67" s="270">
        <f t="shared" si="32"/>
        <v>-92111</v>
      </c>
    </row>
    <row r="68" spans="1:30" hidden="1" outlineLevel="1">
      <c r="A68" s="581"/>
      <c r="B68" s="185"/>
      <c r="C68" s="185"/>
      <c r="D68" s="185"/>
      <c r="E68" s="185"/>
      <c r="F68" s="247"/>
      <c r="G68" s="970" t="s">
        <v>344</v>
      </c>
      <c r="H68" s="905"/>
      <c r="I68" s="582">
        <f t="shared" ref="I68:Y68" si="33">I67/I33</f>
        <v>32.284745762711864</v>
      </c>
      <c r="J68" s="582">
        <f t="shared" si="33"/>
        <v>15.377830750893921</v>
      </c>
      <c r="K68" s="582">
        <f t="shared" si="33"/>
        <v>14.863121005978149</v>
      </c>
      <c r="L68" s="582">
        <f t="shared" si="33"/>
        <v>11.003287236454319</v>
      </c>
      <c r="M68" s="582">
        <f t="shared" si="33"/>
        <v>8.8801812004530003</v>
      </c>
      <c r="N68" s="582">
        <f t="shared" si="33"/>
        <v>6.7132155565266247</v>
      </c>
      <c r="O68" s="582">
        <f t="shared" si="33"/>
        <v>10.792084264283435</v>
      </c>
      <c r="P68" s="582">
        <f t="shared" si="33"/>
        <v>6.4553705209983301</v>
      </c>
      <c r="Q68" s="582">
        <f t="shared" si="33"/>
        <v>5.2947953172768623</v>
      </c>
      <c r="R68" s="582">
        <f t="shared" si="33"/>
        <v>4.3466279912980417</v>
      </c>
      <c r="S68" s="582">
        <f t="shared" si="33"/>
        <v>5.0576584705616963</v>
      </c>
      <c r="T68" s="582">
        <f t="shared" si="33"/>
        <v>5.097028428967791</v>
      </c>
      <c r="U68" s="582">
        <f t="shared" si="33"/>
        <v>4.9294401995945734</v>
      </c>
      <c r="V68" s="582">
        <f t="shared" si="33"/>
        <v>4.0902849192426354</v>
      </c>
      <c r="W68" s="582">
        <f t="shared" si="33"/>
        <v>3.9732250566393033</v>
      </c>
      <c r="X68" s="582">
        <f t="shared" si="33"/>
        <v>2.8631955371191533</v>
      </c>
      <c r="Y68" s="582">
        <f t="shared" si="33"/>
        <v>2.9551310652537648</v>
      </c>
      <c r="Z68" s="565"/>
    </row>
    <row r="69" spans="1:30">
      <c r="A69" s="581"/>
      <c r="B69" s="185"/>
      <c r="C69" s="185"/>
      <c r="D69" s="185"/>
      <c r="E69" s="185"/>
      <c r="F69" s="247"/>
      <c r="G69" s="970"/>
      <c r="H69" s="905"/>
      <c r="I69" s="566"/>
      <c r="J69" s="566"/>
      <c r="K69" s="566"/>
      <c r="L69" s="566"/>
      <c r="M69" s="566"/>
      <c r="N69" s="566"/>
      <c r="O69" s="566"/>
      <c r="P69" s="566"/>
      <c r="Q69" s="566"/>
      <c r="R69" s="566"/>
      <c r="S69" s="566"/>
      <c r="T69" s="618"/>
      <c r="U69" s="618"/>
      <c r="V69" s="618"/>
      <c r="W69" s="618"/>
      <c r="X69" s="618"/>
      <c r="Y69" s="618"/>
      <c r="Z69" s="565"/>
    </row>
    <row r="70" spans="1:30">
      <c r="A70" s="178"/>
      <c r="B70" s="185"/>
      <c r="C70" s="185"/>
      <c r="D70" s="185"/>
      <c r="E70" s="185"/>
      <c r="F70" s="179"/>
      <c r="G70" s="236"/>
      <c r="H70" s="236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spans="1:30">
      <c r="A71" s="178"/>
      <c r="B71" s="185"/>
      <c r="C71" s="185"/>
      <c r="D71" s="185"/>
      <c r="E71" s="185"/>
      <c r="F71" s="966" t="s">
        <v>140</v>
      </c>
      <c r="G71" s="862"/>
      <c r="H71" s="862"/>
      <c r="I71" s="253" t="s">
        <v>25</v>
      </c>
      <c r="J71" s="253" t="s">
        <v>14</v>
      </c>
      <c r="K71" s="253" t="s">
        <v>15</v>
      </c>
      <c r="L71" s="253" t="s">
        <v>16</v>
      </c>
      <c r="M71" s="253" t="s">
        <v>17</v>
      </c>
      <c r="N71" s="253" t="s">
        <v>18</v>
      </c>
      <c r="O71" s="269" t="s">
        <v>19</v>
      </c>
      <c r="P71" s="269" t="s">
        <v>20</v>
      </c>
      <c r="Q71" s="587" t="s">
        <v>21</v>
      </c>
      <c r="R71" s="269" t="s">
        <v>22</v>
      </c>
      <c r="S71" s="586" t="s">
        <v>23</v>
      </c>
      <c r="T71" s="252" t="s">
        <v>24</v>
      </c>
      <c r="U71" s="269" t="s">
        <v>25</v>
      </c>
      <c r="V71" s="253" t="s">
        <v>14</v>
      </c>
      <c r="W71" s="252" t="s">
        <v>15</v>
      </c>
      <c r="X71" s="253" t="s">
        <v>16</v>
      </c>
      <c r="Y71" s="253" t="s">
        <v>17</v>
      </c>
      <c r="Z71" s="253" t="s">
        <v>18</v>
      </c>
      <c r="AA71" s="253" t="s">
        <v>19</v>
      </c>
      <c r="AB71" s="253" t="s">
        <v>20</v>
      </c>
      <c r="AC71" s="253" t="s">
        <v>21</v>
      </c>
      <c r="AD71" s="253" t="s">
        <v>22</v>
      </c>
    </row>
    <row r="72" spans="1:30">
      <c r="A72" s="178"/>
      <c r="B72" s="185"/>
      <c r="C72" s="185"/>
      <c r="D72" s="185"/>
      <c r="E72" s="185"/>
      <c r="F72" s="964" t="s">
        <v>57</v>
      </c>
      <c r="G72" s="956" t="s">
        <v>27</v>
      </c>
      <c r="H72" s="619" t="s">
        <v>110</v>
      </c>
      <c r="I72" s="408">
        <f t="shared" ref="I72:AD72" si="34">I57/I23</f>
        <v>561</v>
      </c>
      <c r="J72" s="406">
        <f t="shared" si="34"/>
        <v>77.13636363636364</v>
      </c>
      <c r="K72" s="406">
        <f t="shared" si="34"/>
        <v>100.31343283582089</v>
      </c>
      <c r="L72" s="406">
        <f t="shared" si="34"/>
        <v>43.806666666666665</v>
      </c>
      <c r="M72" s="406">
        <f t="shared" si="34"/>
        <v>25.283999999999999</v>
      </c>
      <c r="N72" s="406">
        <f t="shared" si="34"/>
        <v>20.063660477453581</v>
      </c>
      <c r="O72" s="136">
        <f t="shared" si="34"/>
        <v>21.116959064327485</v>
      </c>
      <c r="P72" s="136">
        <f t="shared" si="34"/>
        <v>23.168874172185429</v>
      </c>
      <c r="Q72" s="136">
        <f t="shared" si="34"/>
        <v>11.384070796460177</v>
      </c>
      <c r="R72" s="136">
        <f t="shared" si="34"/>
        <v>12.676595744680851</v>
      </c>
      <c r="S72" s="407">
        <f t="shared" si="34"/>
        <v>7.3797468354430382</v>
      </c>
      <c r="T72" s="408">
        <f t="shared" si="34"/>
        <v>8.8258426966292127</v>
      </c>
      <c r="U72" s="136">
        <f t="shared" si="34"/>
        <v>7.5690909090909093</v>
      </c>
      <c r="V72" s="406">
        <f t="shared" si="34"/>
        <v>2.4844720496894408</v>
      </c>
      <c r="W72" s="408">
        <f t="shared" si="34"/>
        <v>1.4132730015082957</v>
      </c>
      <c r="X72" s="406">
        <f t="shared" si="34"/>
        <v>0.37390029325513197</v>
      </c>
      <c r="Y72" s="406">
        <f t="shared" si="34"/>
        <v>2.4549356223175964</v>
      </c>
      <c r="Z72" s="406">
        <f t="shared" si="34"/>
        <v>1.3833333333333333</v>
      </c>
      <c r="AA72" s="406">
        <f t="shared" si="34"/>
        <v>0.3423180592991914</v>
      </c>
      <c r="AB72" s="406">
        <f t="shared" si="34"/>
        <v>-0.66753926701570676</v>
      </c>
      <c r="AC72" s="406">
        <f t="shared" si="34"/>
        <v>-1.6415094339622642</v>
      </c>
      <c r="AD72" s="406">
        <f t="shared" si="34"/>
        <v>-2.5934065934065935</v>
      </c>
    </row>
    <row r="73" spans="1:30">
      <c r="A73" s="178"/>
      <c r="B73" s="185"/>
      <c r="C73" s="185"/>
      <c r="D73" s="185"/>
      <c r="E73" s="185"/>
      <c r="F73" s="865"/>
      <c r="G73" s="919"/>
      <c r="H73" s="620">
        <v>1</v>
      </c>
      <c r="I73" s="408">
        <f t="shared" ref="I73:AD73" si="35">I58/I24</f>
        <v>117.36363636363636</v>
      </c>
      <c r="J73" s="406">
        <f t="shared" si="35"/>
        <v>37.275362318840578</v>
      </c>
      <c r="K73" s="406">
        <f t="shared" si="35"/>
        <v>15.278481012658228</v>
      </c>
      <c r="L73" s="406">
        <f t="shared" si="35"/>
        <v>4.802884615384615</v>
      </c>
      <c r="M73" s="406">
        <f t="shared" si="35"/>
        <v>2.2514239218877137</v>
      </c>
      <c r="N73" s="406">
        <f t="shared" si="35"/>
        <v>3.0601577909270219</v>
      </c>
      <c r="O73" s="136">
        <f t="shared" si="35"/>
        <v>2.3258306538049305</v>
      </c>
      <c r="P73" s="136">
        <f t="shared" si="35"/>
        <v>2.3728129205921937</v>
      </c>
      <c r="Q73" s="136">
        <f t="shared" si="35"/>
        <v>1.3696236559139785</v>
      </c>
      <c r="R73" s="136">
        <f t="shared" si="35"/>
        <v>8.5728571428571421</v>
      </c>
      <c r="S73" s="407">
        <f t="shared" si="35"/>
        <v>14.655414908579466</v>
      </c>
      <c r="T73" s="408">
        <f t="shared" si="35"/>
        <v>16.751277683134582</v>
      </c>
      <c r="U73" s="136">
        <f t="shared" si="35"/>
        <v>15.666101694915254</v>
      </c>
      <c r="V73" s="406">
        <f t="shared" si="35"/>
        <v>12.65288035450517</v>
      </c>
      <c r="W73" s="408">
        <f t="shared" si="35"/>
        <v>11.450581395348838</v>
      </c>
      <c r="X73" s="406">
        <f t="shared" si="35"/>
        <v>10.238231098430813</v>
      </c>
      <c r="Y73" s="406">
        <f t="shared" si="35"/>
        <v>8.9542302357836334</v>
      </c>
      <c r="Z73" s="406">
        <f t="shared" si="35"/>
        <v>7.6890982503364738</v>
      </c>
      <c r="AA73" s="406">
        <f t="shared" si="35"/>
        <v>6.4679738562091504</v>
      </c>
      <c r="AB73" s="406">
        <f t="shared" si="35"/>
        <v>5.2791878172588831</v>
      </c>
      <c r="AC73" s="406">
        <f t="shared" si="35"/>
        <v>4.0731707317073171</v>
      </c>
      <c r="AD73" s="406">
        <f t="shared" si="35"/>
        <v>2.9573459715639809</v>
      </c>
    </row>
    <row r="74" spans="1:30">
      <c r="A74" s="178"/>
      <c r="B74" s="185"/>
      <c r="C74" s="185"/>
      <c r="D74" s="185"/>
      <c r="E74" s="185"/>
      <c r="F74" s="865"/>
      <c r="G74" s="919"/>
      <c r="H74" s="620">
        <v>2</v>
      </c>
      <c r="I74" s="406">
        <f t="shared" ref="I74:AD74" si="36">I59/I25</f>
        <v>439.4</v>
      </c>
      <c r="J74" s="406">
        <f t="shared" si="36"/>
        <v>127.14705882352941</v>
      </c>
      <c r="K74" s="406">
        <f t="shared" si="36"/>
        <v>52.701863354037265</v>
      </c>
      <c r="L74" s="406">
        <f t="shared" si="36"/>
        <v>29.854545454545455</v>
      </c>
      <c r="M74" s="406">
        <f t="shared" si="36"/>
        <v>9.788436268068331</v>
      </c>
      <c r="N74" s="406">
        <f t="shared" si="36"/>
        <v>12.296096904441454</v>
      </c>
      <c r="O74" s="136">
        <f t="shared" si="36"/>
        <v>5.2276755282890255</v>
      </c>
      <c r="P74" s="136">
        <f t="shared" si="36"/>
        <v>6.1738761662425787</v>
      </c>
      <c r="Q74" s="136">
        <f t="shared" si="36"/>
        <v>4.4483532934131738</v>
      </c>
      <c r="R74" s="136">
        <f t="shared" si="36"/>
        <v>4.0212224108658745</v>
      </c>
      <c r="S74" s="407">
        <f t="shared" si="36"/>
        <v>3.6169590643274856</v>
      </c>
      <c r="T74" s="408">
        <f t="shared" si="36"/>
        <v>4.5814393939393936</v>
      </c>
      <c r="U74" s="622">
        <f t="shared" si="36"/>
        <v>3.4907178217821784</v>
      </c>
      <c r="V74" s="406">
        <f t="shared" si="36"/>
        <v>5.1798292422625396</v>
      </c>
      <c r="W74" s="408">
        <f t="shared" si="36"/>
        <v>4.0795395081109369</v>
      </c>
      <c r="X74" s="406">
        <f t="shared" si="36"/>
        <v>2.9654120040691758</v>
      </c>
      <c r="Y74" s="406">
        <f t="shared" si="36"/>
        <v>3.7503707365299062</v>
      </c>
      <c r="Z74" s="406">
        <f t="shared" si="36"/>
        <v>2.6405950095969288</v>
      </c>
      <c r="AA74" s="406">
        <f t="shared" si="36"/>
        <v>1.5643056849953401</v>
      </c>
      <c r="AB74" s="406">
        <f t="shared" si="36"/>
        <v>0.49001331557922767</v>
      </c>
      <c r="AC74" s="406">
        <f t="shared" si="36"/>
        <v>-0.54209871422646205</v>
      </c>
      <c r="AD74" s="406">
        <f t="shared" si="36"/>
        <v>-1.4928355957767723</v>
      </c>
    </row>
    <row r="75" spans="1:30">
      <c r="A75" s="178"/>
      <c r="B75" s="185"/>
      <c r="C75" s="185"/>
      <c r="D75" s="185"/>
      <c r="E75" s="185"/>
      <c r="F75" s="865"/>
      <c r="G75" s="919"/>
      <c r="H75" s="623">
        <v>3</v>
      </c>
      <c r="I75" s="406">
        <f>IFERROR(I60/I26,0)</f>
        <v>0</v>
      </c>
      <c r="J75" s="406">
        <f t="shared" ref="J75:AD75" si="37">J60/J26</f>
        <v>404</v>
      </c>
      <c r="K75" s="406">
        <f t="shared" si="37"/>
        <v>201</v>
      </c>
      <c r="L75" s="406">
        <f t="shared" si="37"/>
        <v>66</v>
      </c>
      <c r="M75" s="406">
        <f t="shared" si="37"/>
        <v>5.8275862068965516</v>
      </c>
      <c r="N75" s="406">
        <f t="shared" si="37"/>
        <v>8.1400966183574877</v>
      </c>
      <c r="O75" s="136">
        <f t="shared" si="37"/>
        <v>3.7067039106145252</v>
      </c>
      <c r="P75" s="136">
        <f t="shared" si="37"/>
        <v>14.171428571428571</v>
      </c>
      <c r="Q75" s="136">
        <f t="shared" si="37"/>
        <v>16.302325581395348</v>
      </c>
      <c r="R75" s="136">
        <f t="shared" si="37"/>
        <v>13.914893617021276</v>
      </c>
      <c r="S75" s="407">
        <f t="shared" si="37"/>
        <v>23.627906976744185</v>
      </c>
      <c r="T75" s="408">
        <f t="shared" si="37"/>
        <v>31.295454545454547</v>
      </c>
      <c r="U75" s="136">
        <f t="shared" si="37"/>
        <v>29.263736263736263</v>
      </c>
      <c r="V75" s="406">
        <f t="shared" si="37"/>
        <v>23.88785046728972</v>
      </c>
      <c r="W75" s="408">
        <f t="shared" si="37"/>
        <v>22.236363636363638</v>
      </c>
      <c r="X75" s="406">
        <f t="shared" si="37"/>
        <v>20.646017699115045</v>
      </c>
      <c r="Y75" s="406">
        <f t="shared" si="37"/>
        <v>19.112068965517242</v>
      </c>
      <c r="Z75" s="406">
        <f t="shared" si="37"/>
        <v>17.475000000000001</v>
      </c>
      <c r="AA75" s="406">
        <f t="shared" si="37"/>
        <v>16.048780487804876</v>
      </c>
      <c r="AB75" s="406">
        <f t="shared" si="37"/>
        <v>13.954545454545455</v>
      </c>
      <c r="AC75" s="406">
        <f t="shared" si="37"/>
        <v>11.703448275862069</v>
      </c>
      <c r="AD75" s="406">
        <f t="shared" si="37"/>
        <v>10.019480519480519</v>
      </c>
    </row>
    <row r="76" spans="1:30">
      <c r="A76" s="178"/>
      <c r="B76" s="185"/>
      <c r="C76" s="185"/>
      <c r="D76" s="185"/>
      <c r="E76" s="185"/>
      <c r="F76" s="865"/>
      <c r="G76" s="971" t="s">
        <v>32</v>
      </c>
      <c r="H76" s="624" t="s">
        <v>110</v>
      </c>
      <c r="I76" s="625">
        <f t="shared" ref="I76:AD76" si="38">I61/I27</f>
        <v>13.608695652173912</v>
      </c>
      <c r="J76" s="625">
        <f t="shared" si="38"/>
        <v>6.8525641025641022</v>
      </c>
      <c r="K76" s="625">
        <f t="shared" si="38"/>
        <v>3.9953271028037385</v>
      </c>
      <c r="L76" s="625">
        <f t="shared" si="38"/>
        <v>8.508429458740018</v>
      </c>
      <c r="M76" s="625">
        <f t="shared" si="38"/>
        <v>7.7419950738916254</v>
      </c>
      <c r="N76" s="625">
        <f t="shared" si="38"/>
        <v>4.2861046878284634</v>
      </c>
      <c r="O76" s="278">
        <f t="shared" si="38"/>
        <v>9.6910613016473128</v>
      </c>
      <c r="P76" s="136">
        <f t="shared" si="38"/>
        <v>5.8696165191740413</v>
      </c>
      <c r="Q76" s="136">
        <f t="shared" si="38"/>
        <v>5.4729993493819125</v>
      </c>
      <c r="R76" s="136">
        <f t="shared" si="38"/>
        <v>4.0037803422204536</v>
      </c>
      <c r="S76" s="626">
        <f t="shared" si="38"/>
        <v>4.5307201057035895</v>
      </c>
      <c r="T76" s="627">
        <f t="shared" si="38"/>
        <v>6.6754011781434084</v>
      </c>
      <c r="U76" s="628">
        <f t="shared" si="38"/>
        <v>6.9950700059159931</v>
      </c>
      <c r="V76" s="406">
        <f t="shared" si="38"/>
        <v>5.4819642315853292</v>
      </c>
      <c r="W76" s="627">
        <f t="shared" si="38"/>
        <v>4.3269513991163473</v>
      </c>
      <c r="X76" s="625">
        <f t="shared" si="38"/>
        <v>3.2043503148254149</v>
      </c>
      <c r="Y76" s="625">
        <f t="shared" si="38"/>
        <v>2.4983958711117311</v>
      </c>
      <c r="Z76" s="625">
        <f t="shared" si="38"/>
        <v>1.425650054171181</v>
      </c>
      <c r="AA76" s="625">
        <f t="shared" si="38"/>
        <v>0.38422090729783037</v>
      </c>
      <c r="AB76" s="625">
        <f t="shared" si="38"/>
        <v>-0.62696284948295677</v>
      </c>
      <c r="AC76" s="625">
        <f t="shared" si="38"/>
        <v>-1.5914729615801517</v>
      </c>
      <c r="AD76" s="625">
        <f t="shared" si="38"/>
        <v>-2.5157146134434503</v>
      </c>
    </row>
    <row r="77" spans="1:30">
      <c r="A77" s="178"/>
      <c r="B77" s="185"/>
      <c r="C77" s="185"/>
      <c r="D77" s="185"/>
      <c r="E77" s="185"/>
      <c r="F77" s="865"/>
      <c r="G77" s="919"/>
      <c r="H77" s="624">
        <v>1</v>
      </c>
      <c r="I77" s="406">
        <f t="shared" ref="I77:AD77" si="39">I62/I28</f>
        <v>9.4186046511627914</v>
      </c>
      <c r="J77" s="406">
        <f t="shared" si="39"/>
        <v>6.2044444444444444</v>
      </c>
      <c r="K77" s="406">
        <f t="shared" si="39"/>
        <v>7.0632911392405067</v>
      </c>
      <c r="L77" s="406">
        <f t="shared" si="39"/>
        <v>2.2231046931407943</v>
      </c>
      <c r="M77" s="406">
        <f t="shared" si="39"/>
        <v>2.4029247642870888</v>
      </c>
      <c r="N77" s="406">
        <f t="shared" si="39"/>
        <v>1.0733853561348166</v>
      </c>
      <c r="O77" s="136">
        <f t="shared" si="39"/>
        <v>5.4138937536485701</v>
      </c>
      <c r="P77" s="136">
        <f t="shared" si="39"/>
        <v>2.9290659884131696</v>
      </c>
      <c r="Q77" s="136">
        <f t="shared" si="39"/>
        <v>4.2826429697577755</v>
      </c>
      <c r="R77" s="136">
        <f t="shared" si="39"/>
        <v>2.7025285076846801</v>
      </c>
      <c r="S77" s="407">
        <f t="shared" si="39"/>
        <v>2.2800934943513829</v>
      </c>
      <c r="T77" s="408">
        <f t="shared" si="39"/>
        <v>3.1562976130015237</v>
      </c>
      <c r="U77" s="622">
        <f t="shared" si="39"/>
        <v>4.2413410575619377</v>
      </c>
      <c r="V77" s="406">
        <f t="shared" si="39"/>
        <v>3.6789199431549027</v>
      </c>
      <c r="W77" s="408">
        <f t="shared" si="39"/>
        <v>3.49369419129154</v>
      </c>
      <c r="X77" s="406">
        <f t="shared" si="39"/>
        <v>2.3949369353251631</v>
      </c>
      <c r="Y77" s="406">
        <f t="shared" si="39"/>
        <v>2.6736419914552272</v>
      </c>
      <c r="Z77" s="406">
        <f t="shared" si="39"/>
        <v>1.5957843054262253</v>
      </c>
      <c r="AA77" s="406">
        <f t="shared" si="39"/>
        <v>0.54935481219692606</v>
      </c>
      <c r="AB77" s="406">
        <f t="shared" si="39"/>
        <v>-0.46664538780721354</v>
      </c>
      <c r="AC77" s="406">
        <f t="shared" si="39"/>
        <v>-1.4402288467329118</v>
      </c>
      <c r="AD77" s="406">
        <f t="shared" si="39"/>
        <v>-2.371666188700889</v>
      </c>
    </row>
    <row r="78" spans="1:30">
      <c r="A78" s="178"/>
      <c r="B78" s="185"/>
      <c r="C78" s="185"/>
      <c r="D78" s="185"/>
      <c r="E78" s="185"/>
      <c r="F78" s="865"/>
      <c r="G78" s="919"/>
      <c r="H78" s="624">
        <v>2</v>
      </c>
      <c r="I78" s="408">
        <f t="shared" ref="I78:AD78" si="40">I63/I29</f>
        <v>26.927272727272726</v>
      </c>
      <c r="J78" s="406">
        <f t="shared" si="40"/>
        <v>27.143478260869564</v>
      </c>
      <c r="K78" s="406">
        <f t="shared" si="40"/>
        <v>43.743849493487701</v>
      </c>
      <c r="L78" s="406">
        <f t="shared" si="40"/>
        <v>42.663427561837459</v>
      </c>
      <c r="M78" s="406">
        <f t="shared" si="40"/>
        <v>26.673109965635739</v>
      </c>
      <c r="N78" s="406">
        <f t="shared" si="40"/>
        <v>20.426846100759143</v>
      </c>
      <c r="O78" s="136">
        <f t="shared" si="40"/>
        <v>23.358044587698092</v>
      </c>
      <c r="P78" s="136">
        <f t="shared" si="40"/>
        <v>9.1102425566157024</v>
      </c>
      <c r="Q78" s="136">
        <f t="shared" si="40"/>
        <v>5.7602149620404335</v>
      </c>
      <c r="R78" s="136">
        <f t="shared" si="40"/>
        <v>4.9378685206371555</v>
      </c>
      <c r="S78" s="407">
        <f t="shared" si="40"/>
        <v>7.6241930525668611</v>
      </c>
      <c r="T78" s="408">
        <f t="shared" si="40"/>
        <v>4.9376346660282495</v>
      </c>
      <c r="U78" s="136">
        <f t="shared" si="40"/>
        <v>3.7936083672283556</v>
      </c>
      <c r="V78" s="406">
        <f t="shared" si="40"/>
        <v>2.9446230796713113</v>
      </c>
      <c r="W78" s="408">
        <f t="shared" si="40"/>
        <v>3.7276514494011455</v>
      </c>
      <c r="X78" s="406">
        <f t="shared" si="40"/>
        <v>2.6223327991903518</v>
      </c>
      <c r="Y78" s="406">
        <f t="shared" si="40"/>
        <v>2.7551372677954955</v>
      </c>
      <c r="Z78" s="406">
        <f t="shared" si="40"/>
        <v>1.675099760574621</v>
      </c>
      <c r="AA78" s="406">
        <f t="shared" si="40"/>
        <v>0.62629784596311788</v>
      </c>
      <c r="AB78" s="406">
        <f t="shared" si="40"/>
        <v>-0.39198134496765458</v>
      </c>
      <c r="AC78" s="406">
        <f t="shared" si="40"/>
        <v>-1.3805872042068361</v>
      </c>
      <c r="AD78" s="406">
        <f t="shared" si="40"/>
        <v>-2.3403531163582216</v>
      </c>
    </row>
    <row r="79" spans="1:30">
      <c r="A79" s="178"/>
      <c r="B79" s="185"/>
      <c r="C79" s="185"/>
      <c r="D79" s="185"/>
      <c r="E79" s="185"/>
      <c r="F79" s="865"/>
      <c r="G79" s="920"/>
      <c r="H79" s="518" t="s">
        <v>295</v>
      </c>
      <c r="I79" s="408"/>
      <c r="J79" s="406"/>
      <c r="K79" s="406"/>
      <c r="L79" s="406"/>
      <c r="M79" s="406"/>
      <c r="N79" s="406">
        <f t="shared" ref="N79:O79" si="41">IFERROR(N64/N30,0)</f>
        <v>0</v>
      </c>
      <c r="O79" s="406">
        <f t="shared" si="41"/>
        <v>0</v>
      </c>
      <c r="P79" s="136">
        <f t="shared" ref="P79:AD79" si="42">P64/P30</f>
        <v>56.74074074074074</v>
      </c>
      <c r="Q79" s="136">
        <f t="shared" si="42"/>
        <v>7.63</v>
      </c>
      <c r="R79" s="136">
        <f t="shared" si="42"/>
        <v>7.9402985074626864</v>
      </c>
      <c r="S79" s="407">
        <f t="shared" si="42"/>
        <v>4.9641255605381165</v>
      </c>
      <c r="T79" s="408">
        <f t="shared" si="42"/>
        <v>6.3175965665236049</v>
      </c>
      <c r="U79" s="136">
        <f t="shared" si="42"/>
        <v>4.738791423001949</v>
      </c>
      <c r="V79" s="406">
        <f t="shared" si="42"/>
        <v>2.4095371669004209</v>
      </c>
      <c r="W79" s="408">
        <f t="shared" si="42"/>
        <v>4.5323246217331503</v>
      </c>
      <c r="X79" s="406">
        <f t="shared" si="42"/>
        <v>3.440700808625337</v>
      </c>
      <c r="Y79" s="406">
        <f t="shared" si="42"/>
        <v>3.9007936507936507</v>
      </c>
      <c r="Z79" s="406">
        <f t="shared" si="42"/>
        <v>2.8199481865284972</v>
      </c>
      <c r="AA79" s="406">
        <f t="shared" si="42"/>
        <v>1.7662007623888183</v>
      </c>
      <c r="AB79" s="406">
        <f t="shared" si="42"/>
        <v>0.73100871731008721</v>
      </c>
      <c r="AC79" s="406">
        <f t="shared" si="42"/>
        <v>-0.28327228327228327</v>
      </c>
      <c r="AD79" s="406">
        <f t="shared" si="42"/>
        <v>-1.2778443113772455</v>
      </c>
    </row>
    <row r="80" spans="1:30">
      <c r="A80" s="178"/>
      <c r="B80" s="185"/>
      <c r="C80" s="185"/>
      <c r="D80" s="185"/>
      <c r="E80" s="185"/>
      <c r="F80" s="865"/>
      <c r="G80" s="958"/>
      <c r="H80" s="525" t="s">
        <v>133</v>
      </c>
      <c r="I80" s="526"/>
      <c r="J80" s="526"/>
      <c r="K80" s="526"/>
      <c r="L80" s="526"/>
      <c r="M80" s="526"/>
      <c r="N80" s="526"/>
      <c r="O80" s="406">
        <f t="shared" ref="O80:AD80" si="43">IFERROR(O65/O31,0)</f>
        <v>0</v>
      </c>
      <c r="P80" s="136">
        <f t="shared" si="43"/>
        <v>7.8965517241379306</v>
      </c>
      <c r="Q80" s="136">
        <f t="shared" si="43"/>
        <v>2.3430656934306571</v>
      </c>
      <c r="R80" s="136">
        <f t="shared" si="43"/>
        <v>1.4692307692307693</v>
      </c>
      <c r="S80" s="407">
        <f t="shared" si="43"/>
        <v>0.20504731861198738</v>
      </c>
      <c r="T80" s="408">
        <f t="shared" si="43"/>
        <v>-0.80421686746987953</v>
      </c>
      <c r="U80" s="136">
        <f t="shared" si="43"/>
        <v>-1.7315068493150685</v>
      </c>
      <c r="V80" s="406">
        <f t="shared" si="43"/>
        <v>3.7272727272727271</v>
      </c>
      <c r="W80" s="408">
        <f t="shared" si="43"/>
        <v>2.6479690522243713</v>
      </c>
      <c r="X80" s="406">
        <f t="shared" si="43"/>
        <v>1.5977229601518026</v>
      </c>
      <c r="Y80" s="406">
        <f t="shared" si="43"/>
        <v>4.322160148975791</v>
      </c>
      <c r="Z80" s="406">
        <f t="shared" si="43"/>
        <v>3.2354014598540144</v>
      </c>
      <c r="AA80" s="406">
        <f t="shared" si="43"/>
        <v>2.1717352415026832</v>
      </c>
      <c r="AB80" s="406">
        <f t="shared" si="43"/>
        <v>1.1298245614035087</v>
      </c>
      <c r="AC80" s="406">
        <f t="shared" si="43"/>
        <v>0.10652920962199312</v>
      </c>
      <c r="AD80" s="406">
        <f t="shared" si="43"/>
        <v>-0.89544688026981445</v>
      </c>
    </row>
    <row r="81" spans="1:30">
      <c r="A81" s="178"/>
      <c r="B81" s="185"/>
      <c r="C81" s="185"/>
      <c r="D81" s="185"/>
      <c r="E81" s="185"/>
      <c r="F81" s="865"/>
      <c r="G81" s="920"/>
      <c r="H81" s="537" t="s">
        <v>134</v>
      </c>
      <c r="I81" s="526"/>
      <c r="J81" s="526"/>
      <c r="K81" s="526"/>
      <c r="L81" s="526"/>
      <c r="M81" s="526"/>
      <c r="N81" s="526"/>
      <c r="O81" s="406">
        <f t="shared" ref="O81:AD81" si="44">IFERROR(O66/O32,0)</f>
        <v>0</v>
      </c>
      <c r="P81" s="136">
        <f t="shared" si="44"/>
        <v>38.07692307692308</v>
      </c>
      <c r="Q81" s="136">
        <f t="shared" si="44"/>
        <v>8.3396226415094343</v>
      </c>
      <c r="R81" s="136">
        <f t="shared" si="44"/>
        <v>9.279069767441861</v>
      </c>
      <c r="S81" s="407">
        <f t="shared" si="44"/>
        <v>5.65</v>
      </c>
      <c r="T81" s="408">
        <f t="shared" si="44"/>
        <v>4.4240000000000004</v>
      </c>
      <c r="U81" s="136">
        <f t="shared" si="44"/>
        <v>3.0072463768115942</v>
      </c>
      <c r="V81" s="406">
        <f t="shared" si="44"/>
        <v>6.411458333333333</v>
      </c>
      <c r="W81" s="408">
        <f t="shared" si="44"/>
        <v>5.2806122448979593</v>
      </c>
      <c r="X81" s="406">
        <f t="shared" si="44"/>
        <v>4.1749999999999998</v>
      </c>
      <c r="Y81" s="406">
        <f t="shared" si="44"/>
        <v>3.0931372549019609</v>
      </c>
      <c r="Z81" s="406">
        <f t="shared" si="44"/>
        <v>2.0336538461538463</v>
      </c>
      <c r="AA81" s="406">
        <f t="shared" si="44"/>
        <v>0.99528301886792447</v>
      </c>
      <c r="AB81" s="406">
        <f t="shared" si="44"/>
        <v>-2.3148148148148147E-2</v>
      </c>
      <c r="AC81" s="406">
        <f t="shared" si="44"/>
        <v>-1.0226244343891402</v>
      </c>
      <c r="AD81" s="406">
        <f t="shared" si="44"/>
        <v>-2.0044444444444443</v>
      </c>
    </row>
    <row r="82" spans="1:30">
      <c r="A82" s="178"/>
      <c r="B82" s="185"/>
      <c r="C82" s="185"/>
      <c r="D82" s="185"/>
      <c r="E82" s="185"/>
      <c r="F82" s="577"/>
      <c r="G82" s="969" t="s">
        <v>38</v>
      </c>
      <c r="H82" s="860"/>
      <c r="I82" s="578">
        <f t="shared" ref="I82:N82" si="45">SUM(I72:I78)</f>
        <v>1167.7182093942458</v>
      </c>
      <c r="J82" s="578">
        <f t="shared" si="45"/>
        <v>685.7592715866117</v>
      </c>
      <c r="K82" s="578">
        <f t="shared" si="45"/>
        <v>424.0962449380483</v>
      </c>
      <c r="L82" s="578">
        <f t="shared" si="45"/>
        <v>197.85905845031499</v>
      </c>
      <c r="M82" s="578">
        <f t="shared" si="45"/>
        <v>79.969476200667032</v>
      </c>
      <c r="N82" s="578">
        <f t="shared" si="45"/>
        <v>69.346347935901974</v>
      </c>
      <c r="O82" s="270">
        <f>AVERAGE(O72:O78)</f>
        <v>10.120024114289992</v>
      </c>
      <c r="P82" s="270">
        <f t="shared" ref="P82:AD82" si="46">AVERAGE(P72:P81)</f>
        <v>16.651013243645345</v>
      </c>
      <c r="Q82" s="270">
        <f t="shared" si="46"/>
        <v>6.7332918943302902</v>
      </c>
      <c r="R82" s="270">
        <f t="shared" si="46"/>
        <v>6.9518345330102749</v>
      </c>
      <c r="S82" s="617">
        <f t="shared" si="46"/>
        <v>7.4534207316866112</v>
      </c>
      <c r="T82" s="272">
        <f t="shared" si="46"/>
        <v>8.616072747538464</v>
      </c>
      <c r="U82" s="270">
        <f t="shared" si="46"/>
        <v>7.7034197070729373</v>
      </c>
      <c r="V82" s="578">
        <f t="shared" si="46"/>
        <v>6.8858807595664882</v>
      </c>
      <c r="W82" s="272">
        <f t="shared" si="46"/>
        <v>6.3188960499996218</v>
      </c>
      <c r="X82" s="270">
        <f t="shared" si="46"/>
        <v>5.1658604912988224</v>
      </c>
      <c r="Y82" s="270">
        <f t="shared" si="46"/>
        <v>5.3514871745182235</v>
      </c>
      <c r="Z82" s="270">
        <f t="shared" si="46"/>
        <v>4.1973564205975133</v>
      </c>
      <c r="AA82" s="270">
        <f t="shared" si="46"/>
        <v>3.0916470676525867</v>
      </c>
      <c r="AB82" s="270">
        <f t="shared" si="46"/>
        <v>1.9408302868675484</v>
      </c>
      <c r="AC82" s="270">
        <f t="shared" si="46"/>
        <v>0.79813543388213259</v>
      </c>
      <c r="AD82" s="270">
        <f t="shared" si="46"/>
        <v>-0.25148852527329307</v>
      </c>
    </row>
    <row r="83" spans="1:30">
      <c r="A83" s="178"/>
      <c r="B83" s="185"/>
      <c r="C83" s="185"/>
      <c r="D83" s="185"/>
      <c r="E83" s="185"/>
      <c r="F83" s="179"/>
      <c r="G83" s="236"/>
      <c r="H83" s="236"/>
      <c r="I83" s="180"/>
      <c r="J83" s="180"/>
      <c r="K83" s="180"/>
      <c r="L83" s="180"/>
      <c r="M83" s="180"/>
      <c r="N83" s="180"/>
      <c r="O83" s="180"/>
      <c r="P83" s="180"/>
      <c r="Q83" s="428"/>
      <c r="R83" s="180"/>
      <c r="S83" s="180"/>
      <c r="T83" s="180"/>
      <c r="U83" s="180"/>
      <c r="V83" s="180"/>
      <c r="W83" s="180"/>
      <c r="X83" s="180"/>
      <c r="Y83" s="180"/>
      <c r="Z83" s="180"/>
    </row>
    <row r="84" spans="1:30" ht="12.75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spans="1:30" ht="12.7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spans="1:30" ht="12.75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spans="1:30" ht="12.75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spans="1:30" ht="12.75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spans="1:30" ht="12.75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spans="1:30" ht="12.75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spans="1:30" ht="12.75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spans="1:30" ht="12.75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spans="1:30" ht="12.75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spans="1:30" ht="12.75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spans="1:30" ht="12.75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spans="1:30">
      <c r="A96" s="178"/>
      <c r="B96" s="185"/>
      <c r="C96" s="185"/>
      <c r="D96" s="185"/>
      <c r="E96" s="185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spans="1:26">
      <c r="A97" s="178"/>
      <c r="B97" s="185"/>
      <c r="C97" s="185"/>
      <c r="D97" s="185"/>
      <c r="E97" s="185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spans="1:26">
      <c r="B98" s="185"/>
      <c r="C98" s="185"/>
      <c r="D98" s="185"/>
      <c r="E98" s="185"/>
    </row>
    <row r="99" spans="1:26">
      <c r="B99" s="185"/>
      <c r="C99" s="185"/>
      <c r="D99" s="185"/>
      <c r="E99" s="185"/>
    </row>
    <row r="100" spans="1:26">
      <c r="B100" s="185"/>
      <c r="C100" s="185"/>
      <c r="D100" s="185"/>
      <c r="E100" s="185"/>
    </row>
    <row r="101" spans="1:26">
      <c r="B101" s="185"/>
      <c r="C101" s="185"/>
      <c r="D101" s="185"/>
      <c r="E101" s="185"/>
    </row>
    <row r="102" spans="1:26">
      <c r="B102" s="185"/>
      <c r="C102" s="185"/>
      <c r="D102" s="185"/>
      <c r="E102" s="185"/>
    </row>
    <row r="103" spans="1:26">
      <c r="B103" s="185"/>
      <c r="C103" s="185"/>
      <c r="D103" s="185"/>
      <c r="E103" s="185"/>
    </row>
    <row r="104" spans="1:26">
      <c r="B104" s="185"/>
      <c r="C104" s="185"/>
      <c r="D104" s="185"/>
      <c r="E104" s="185"/>
    </row>
    <row r="105" spans="1:26">
      <c r="B105" s="185"/>
      <c r="C105" s="185"/>
      <c r="D105" s="185"/>
      <c r="E105" s="185"/>
    </row>
    <row r="106" spans="1:26">
      <c r="B106" s="185"/>
      <c r="C106" s="185"/>
      <c r="D106" s="185"/>
      <c r="E106" s="185"/>
    </row>
    <row r="107" spans="1:26">
      <c r="B107" s="185"/>
    </row>
    <row r="108" spans="1:26">
      <c r="B108" s="185"/>
    </row>
    <row r="109" spans="1:26">
      <c r="B109" s="185"/>
    </row>
    <row r="110" spans="1:26">
      <c r="B110" s="185"/>
    </row>
    <row r="111" spans="1:26">
      <c r="B111" s="185"/>
    </row>
    <row r="112" spans="1:26">
      <c r="B112" s="185"/>
    </row>
    <row r="113" spans="2:2">
      <c r="B113" s="185"/>
    </row>
  </sheetData>
  <mergeCells count="42">
    <mergeCell ref="G57:G60"/>
    <mergeCell ref="G61:G64"/>
    <mergeCell ref="G80:G81"/>
    <mergeCell ref="G82:H82"/>
    <mergeCell ref="G65:G66"/>
    <mergeCell ref="G67:H67"/>
    <mergeCell ref="G68:H68"/>
    <mergeCell ref="G69:H69"/>
    <mergeCell ref="F71:H71"/>
    <mergeCell ref="G72:G75"/>
    <mergeCell ref="G76:G79"/>
    <mergeCell ref="F36:F42"/>
    <mergeCell ref="F46:F52"/>
    <mergeCell ref="F57:F66"/>
    <mergeCell ref="F72:F81"/>
    <mergeCell ref="G33:H33"/>
    <mergeCell ref="F35:H35"/>
    <mergeCell ref="G36:G39"/>
    <mergeCell ref="G40:G42"/>
    <mergeCell ref="G43:H43"/>
    <mergeCell ref="G44:H44"/>
    <mergeCell ref="F45:H45"/>
    <mergeCell ref="G46:G49"/>
    <mergeCell ref="G50:G52"/>
    <mergeCell ref="G53:H53"/>
    <mergeCell ref="G55:H55"/>
    <mergeCell ref="F56:H56"/>
    <mergeCell ref="F22:H22"/>
    <mergeCell ref="F23:F32"/>
    <mergeCell ref="G23:G26"/>
    <mergeCell ref="G27:G30"/>
    <mergeCell ref="G31:G32"/>
    <mergeCell ref="F2:J2"/>
    <mergeCell ref="F5:H5"/>
    <mergeCell ref="F6:H6"/>
    <mergeCell ref="F7:F19"/>
    <mergeCell ref="G7:G10"/>
    <mergeCell ref="G11:G14"/>
    <mergeCell ref="G15:G16"/>
    <mergeCell ref="G19:H19"/>
    <mergeCell ref="G17:H17"/>
    <mergeCell ref="G18:H18"/>
  </mergeCells>
  <phoneticPr fontId="86" type="noConversion"/>
  <conditionalFormatting sqref="I72:N79 O72:AD81">
    <cfRule type="colorScale" priority="1">
      <colorScale>
        <cfvo type="formula" val="3"/>
        <cfvo type="formula" val="20"/>
        <color rgb="FFFFFFFF"/>
        <color rgb="FFE67C73"/>
      </colorScale>
    </cfRule>
  </conditionalFormatting>
  <conditionalFormatting sqref="I79:N79 O79:AD81 I36:Y42 I46:Y53 I57:N64 O57:AD66">
    <cfRule type="cellIs" dxfId="13" priority="2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4CCCC"/>
    <outlinePr summaryBelow="0" summaryRight="0"/>
  </sheetPr>
  <dimension ref="A1:R993"/>
  <sheetViews>
    <sheetView workbookViewId="0"/>
  </sheetViews>
  <sheetFormatPr defaultColWidth="14.42578125" defaultRowHeight="15.75" customHeight="1"/>
  <cols>
    <col min="2" max="2" width="17.7109375" customWidth="1"/>
    <col min="3" max="3" width="27.28515625" customWidth="1"/>
    <col min="4" max="4" width="26.7109375" customWidth="1"/>
    <col min="5" max="5" width="1" customWidth="1"/>
    <col min="6" max="6" width="21" customWidth="1"/>
    <col min="7" max="8" width="0.42578125" customWidth="1"/>
    <col min="9" max="9" width="13.5703125" customWidth="1"/>
    <col min="15" max="15" width="27" customWidth="1"/>
  </cols>
  <sheetData>
    <row r="1" spans="1:18">
      <c r="B1" s="593" t="s">
        <v>306</v>
      </c>
      <c r="C1" s="593" t="s">
        <v>307</v>
      </c>
      <c r="D1" s="594" t="s">
        <v>308</v>
      </c>
      <c r="E1" s="596" t="s">
        <v>309</v>
      </c>
      <c r="F1" s="596" t="s">
        <v>310</v>
      </c>
      <c r="G1" s="596" t="s">
        <v>311</v>
      </c>
      <c r="H1" s="593" t="s">
        <v>312</v>
      </c>
      <c r="I1" s="596" t="s">
        <v>313</v>
      </c>
      <c r="J1" s="596" t="s">
        <v>314</v>
      </c>
      <c r="K1" s="596" t="s">
        <v>315</v>
      </c>
      <c r="L1" s="596" t="s">
        <v>316</v>
      </c>
      <c r="M1" s="593" t="s">
        <v>317</v>
      </c>
      <c r="N1" s="593" t="s">
        <v>317</v>
      </c>
      <c r="P1" s="598">
        <v>45474</v>
      </c>
      <c r="Q1" s="598">
        <v>45504</v>
      </c>
      <c r="R1" s="598">
        <v>45537</v>
      </c>
    </row>
    <row r="2" spans="1:18" ht="15.75" customHeight="1">
      <c r="A2" s="599"/>
      <c r="B2" s="600">
        <v>8718117107834</v>
      </c>
      <c r="C2" s="599" t="s">
        <v>318</v>
      </c>
      <c r="D2" s="599" t="s">
        <v>318</v>
      </c>
      <c r="E2" s="601">
        <v>20250721</v>
      </c>
      <c r="F2" s="602">
        <v>2025007021</v>
      </c>
      <c r="G2" s="602">
        <v>2024003006</v>
      </c>
      <c r="H2" s="599" t="s">
        <v>319</v>
      </c>
      <c r="I2" s="602" t="s">
        <v>320</v>
      </c>
      <c r="J2" s="602">
        <v>70</v>
      </c>
      <c r="K2" s="602" t="s">
        <v>321</v>
      </c>
      <c r="L2" s="602" t="s">
        <v>321</v>
      </c>
      <c r="M2" s="599"/>
      <c r="N2" s="183"/>
      <c r="O2" s="603" t="s">
        <v>318</v>
      </c>
      <c r="P2" s="118">
        <f t="shared" ref="P2:P11" si="0">SUMIF(D:D,O2,J:J)</f>
        <v>70</v>
      </c>
      <c r="Q2" s="7">
        <v>1972</v>
      </c>
      <c r="R2" s="7">
        <v>1616</v>
      </c>
    </row>
    <row r="3" spans="1:18" ht="15.75" customHeight="1">
      <c r="A3" s="599"/>
      <c r="B3" s="600">
        <v>8718117607846</v>
      </c>
      <c r="C3" s="599" t="s">
        <v>322</v>
      </c>
      <c r="D3" s="599" t="s">
        <v>322</v>
      </c>
      <c r="E3" s="601">
        <v>20250706</v>
      </c>
      <c r="F3" s="602">
        <v>2025007006</v>
      </c>
      <c r="G3" s="602">
        <v>2024003006</v>
      </c>
      <c r="H3" s="599" t="s">
        <v>323</v>
      </c>
      <c r="I3" s="602" t="s">
        <v>320</v>
      </c>
      <c r="J3" s="602">
        <v>698</v>
      </c>
      <c r="K3" s="602" t="s">
        <v>321</v>
      </c>
      <c r="L3" s="602" t="s">
        <v>321</v>
      </c>
      <c r="M3" s="599"/>
      <c r="N3" s="599"/>
      <c r="O3" s="604" t="s">
        <v>322</v>
      </c>
      <c r="P3" s="118">
        <f t="shared" si="0"/>
        <v>698</v>
      </c>
      <c r="Q3" s="7">
        <v>562</v>
      </c>
      <c r="R3" s="7">
        <v>432</v>
      </c>
    </row>
    <row r="4" spans="1:18" ht="15.75" customHeight="1">
      <c r="A4" s="599"/>
      <c r="B4" s="600">
        <v>9001375010237</v>
      </c>
      <c r="C4" s="599" t="s">
        <v>324</v>
      </c>
      <c r="D4" s="599" t="s">
        <v>324</v>
      </c>
      <c r="E4" s="601">
        <v>260130</v>
      </c>
      <c r="F4" s="602">
        <v>2026001030</v>
      </c>
      <c r="G4" s="602">
        <v>2024004025</v>
      </c>
      <c r="H4" s="599" t="s">
        <v>324</v>
      </c>
      <c r="I4" s="602" t="s">
        <v>320</v>
      </c>
      <c r="J4" s="602">
        <v>829</v>
      </c>
      <c r="K4" s="602" t="s">
        <v>325</v>
      </c>
      <c r="L4" s="602" t="s">
        <v>321</v>
      </c>
      <c r="M4" s="599"/>
      <c r="N4" s="599"/>
      <c r="O4" s="604" t="s">
        <v>324</v>
      </c>
      <c r="P4" s="118">
        <f t="shared" si="0"/>
        <v>2043</v>
      </c>
      <c r="Q4" s="7">
        <v>905</v>
      </c>
      <c r="R4" s="7">
        <v>782</v>
      </c>
    </row>
    <row r="5" spans="1:18" ht="15.75" customHeight="1">
      <c r="A5" s="599"/>
      <c r="B5" s="600">
        <v>9001375010237</v>
      </c>
      <c r="C5" s="599" t="s">
        <v>324</v>
      </c>
      <c r="D5" s="599" t="s">
        <v>324</v>
      </c>
      <c r="E5" s="601">
        <v>260219</v>
      </c>
      <c r="F5" s="602">
        <v>2026002019</v>
      </c>
      <c r="G5" s="602">
        <v>2024003025</v>
      </c>
      <c r="H5" s="599" t="s">
        <v>324</v>
      </c>
      <c r="I5" s="602" t="s">
        <v>320</v>
      </c>
      <c r="J5" s="602">
        <v>1214</v>
      </c>
      <c r="K5" s="602" t="s">
        <v>321</v>
      </c>
      <c r="L5" s="602" t="s">
        <v>321</v>
      </c>
      <c r="M5" s="599"/>
      <c r="N5" s="599"/>
      <c r="O5" s="604" t="s">
        <v>326</v>
      </c>
      <c r="P5" s="118">
        <f t="shared" si="0"/>
        <v>5344</v>
      </c>
      <c r="Q5" s="606">
        <v>4387</v>
      </c>
      <c r="R5" s="7">
        <v>3450</v>
      </c>
    </row>
    <row r="6" spans="1:18" ht="15.75" customHeight="1">
      <c r="A6" s="599"/>
      <c r="B6" s="600">
        <v>4056631003435</v>
      </c>
      <c r="C6" s="599" t="s">
        <v>327</v>
      </c>
      <c r="D6" s="599" t="s">
        <v>327</v>
      </c>
      <c r="E6" s="601">
        <v>251016</v>
      </c>
      <c r="F6" s="602">
        <v>2025010016</v>
      </c>
      <c r="G6" s="602">
        <v>2024002022</v>
      </c>
      <c r="H6" s="599" t="s">
        <v>327</v>
      </c>
      <c r="I6" s="602" t="s">
        <v>320</v>
      </c>
      <c r="J6" s="602">
        <v>5760</v>
      </c>
      <c r="K6" s="602" t="s">
        <v>328</v>
      </c>
      <c r="L6" s="602"/>
      <c r="M6" s="599"/>
      <c r="N6" s="599"/>
      <c r="O6" s="604" t="s">
        <v>329</v>
      </c>
      <c r="P6" s="118">
        <f t="shared" si="0"/>
        <v>10474</v>
      </c>
      <c r="Q6" s="606">
        <v>9546</v>
      </c>
      <c r="R6" s="7">
        <v>8634</v>
      </c>
    </row>
    <row r="7" spans="1:18" ht="15.75" customHeight="1">
      <c r="A7" s="599"/>
      <c r="B7" s="600">
        <v>4056631003435</v>
      </c>
      <c r="C7" s="599" t="s">
        <v>327</v>
      </c>
      <c r="D7" s="599" t="s">
        <v>327</v>
      </c>
      <c r="E7" s="601">
        <v>251016</v>
      </c>
      <c r="F7" s="602">
        <v>2025010016</v>
      </c>
      <c r="G7" s="602">
        <v>2024002022</v>
      </c>
      <c r="H7" s="599" t="s">
        <v>327</v>
      </c>
      <c r="I7" s="602" t="s">
        <v>320</v>
      </c>
      <c r="J7" s="602">
        <v>6520</v>
      </c>
      <c r="K7" s="602" t="s">
        <v>325</v>
      </c>
      <c r="L7" s="602"/>
      <c r="M7" s="599"/>
      <c r="N7" s="599"/>
      <c r="O7" s="604" t="s">
        <v>330</v>
      </c>
      <c r="P7" s="118">
        <f t="shared" si="0"/>
        <v>3709</v>
      </c>
      <c r="Q7" s="606">
        <v>7428</v>
      </c>
      <c r="R7" s="7">
        <v>6103</v>
      </c>
    </row>
    <row r="8" spans="1:18" ht="15.75" customHeight="1">
      <c r="A8" s="599"/>
      <c r="B8" s="600">
        <v>4056631003435</v>
      </c>
      <c r="C8" s="599" t="s">
        <v>327</v>
      </c>
      <c r="D8" s="599" t="s">
        <v>327</v>
      </c>
      <c r="E8" s="601">
        <v>251016</v>
      </c>
      <c r="F8" s="602">
        <v>2025010016</v>
      </c>
      <c r="G8" s="602">
        <v>2024002023</v>
      </c>
      <c r="H8" s="599" t="s">
        <v>327</v>
      </c>
      <c r="I8" s="602" t="s">
        <v>320</v>
      </c>
      <c r="J8" s="602">
        <v>384</v>
      </c>
      <c r="K8" s="602" t="s">
        <v>325</v>
      </c>
      <c r="L8" s="602"/>
      <c r="M8" s="599"/>
      <c r="N8" s="599"/>
      <c r="O8" s="604" t="s">
        <v>331</v>
      </c>
      <c r="P8" s="118">
        <f t="shared" si="0"/>
        <v>2808</v>
      </c>
      <c r="Q8" s="606">
        <v>2633</v>
      </c>
      <c r="R8" s="7">
        <v>2476</v>
      </c>
    </row>
    <row r="9" spans="1:18" ht="15.75" customHeight="1">
      <c r="A9" s="599"/>
      <c r="B9" s="600">
        <v>4056631003435</v>
      </c>
      <c r="C9" s="599" t="s">
        <v>327</v>
      </c>
      <c r="D9" s="599" t="s">
        <v>327</v>
      </c>
      <c r="E9" s="601">
        <v>251202</v>
      </c>
      <c r="F9" s="602">
        <v>2025012002</v>
      </c>
      <c r="G9" s="602">
        <v>2024002022</v>
      </c>
      <c r="H9" s="599" t="s">
        <v>327</v>
      </c>
      <c r="I9" s="602" t="s">
        <v>320</v>
      </c>
      <c r="J9" s="602">
        <v>2688</v>
      </c>
      <c r="K9" s="602" t="s">
        <v>328</v>
      </c>
      <c r="L9" s="602"/>
      <c r="M9" s="599"/>
      <c r="N9" s="599"/>
      <c r="O9" s="604" t="s">
        <v>327</v>
      </c>
      <c r="P9" s="118">
        <f t="shared" si="0"/>
        <v>15352</v>
      </c>
      <c r="Q9" s="7">
        <v>13626</v>
      </c>
      <c r="R9" s="7">
        <v>23312</v>
      </c>
    </row>
    <row r="10" spans="1:18" ht="15.75" customHeight="1">
      <c r="A10" s="599"/>
      <c r="B10" s="600">
        <v>4056631003459</v>
      </c>
      <c r="C10" s="599" t="s">
        <v>332</v>
      </c>
      <c r="D10" s="599" t="s">
        <v>333</v>
      </c>
      <c r="E10" s="601">
        <v>250603</v>
      </c>
      <c r="F10" s="602">
        <v>2025006003</v>
      </c>
      <c r="G10" s="602">
        <v>2023009007</v>
      </c>
      <c r="H10" s="599" t="s">
        <v>333</v>
      </c>
      <c r="I10" s="602" t="s">
        <v>334</v>
      </c>
      <c r="J10" s="602">
        <v>1</v>
      </c>
      <c r="K10" s="602" t="s">
        <v>335</v>
      </c>
      <c r="L10" s="602"/>
      <c r="M10" s="599"/>
      <c r="N10" s="599"/>
      <c r="O10" s="604" t="s">
        <v>333</v>
      </c>
      <c r="P10" s="118">
        <f t="shared" si="0"/>
        <v>14338</v>
      </c>
      <c r="Q10" s="7">
        <v>7078</v>
      </c>
      <c r="R10" s="7">
        <v>11527</v>
      </c>
    </row>
    <row r="11" spans="1:18" ht="15.75" customHeight="1">
      <c r="A11" s="599"/>
      <c r="B11" s="600">
        <v>4056631003459</v>
      </c>
      <c r="C11" s="599" t="s">
        <v>332</v>
      </c>
      <c r="D11" s="599" t="s">
        <v>333</v>
      </c>
      <c r="E11" s="601">
        <v>250901</v>
      </c>
      <c r="F11" s="602">
        <v>2025009001</v>
      </c>
      <c r="G11" s="602">
        <v>2023012028</v>
      </c>
      <c r="H11" s="599" t="s">
        <v>333</v>
      </c>
      <c r="I11" s="602" t="s">
        <v>336</v>
      </c>
      <c r="J11" s="602">
        <v>4</v>
      </c>
      <c r="K11" s="602" t="s">
        <v>337</v>
      </c>
      <c r="L11" s="602"/>
      <c r="M11" s="599"/>
      <c r="N11" s="599"/>
      <c r="O11" s="604" t="s">
        <v>338</v>
      </c>
      <c r="P11" s="118">
        <f t="shared" si="0"/>
        <v>49701</v>
      </c>
      <c r="Q11" s="7">
        <v>38336</v>
      </c>
      <c r="R11" s="7">
        <v>25448</v>
      </c>
    </row>
    <row r="12" spans="1:18" ht="15.75" customHeight="1">
      <c r="A12" s="599"/>
      <c r="B12" s="600">
        <v>4056631003459</v>
      </c>
      <c r="C12" s="599" t="s">
        <v>332</v>
      </c>
      <c r="D12" s="599" t="s">
        <v>333</v>
      </c>
      <c r="E12" s="601">
        <v>260111</v>
      </c>
      <c r="F12" s="602">
        <v>2026001011</v>
      </c>
      <c r="G12" s="602">
        <v>2024004025</v>
      </c>
      <c r="H12" s="599" t="s">
        <v>333</v>
      </c>
      <c r="I12" s="602" t="s">
        <v>320</v>
      </c>
      <c r="J12" s="602">
        <v>1277</v>
      </c>
      <c r="K12" s="602" t="s">
        <v>325</v>
      </c>
      <c r="L12" s="602"/>
      <c r="M12" s="599"/>
      <c r="N12" s="599"/>
    </row>
    <row r="13" spans="1:18" ht="15.75" customHeight="1">
      <c r="A13" s="599"/>
      <c r="B13" s="600">
        <v>4056631003459</v>
      </c>
      <c r="C13" s="599" t="s">
        <v>332</v>
      </c>
      <c r="D13" s="599" t="s">
        <v>333</v>
      </c>
      <c r="E13" s="601">
        <v>260130</v>
      </c>
      <c r="F13" s="602">
        <v>2026001030</v>
      </c>
      <c r="G13" s="602">
        <v>2024004025</v>
      </c>
      <c r="H13" s="599" t="s">
        <v>333</v>
      </c>
      <c r="I13" s="602" t="s">
        <v>320</v>
      </c>
      <c r="J13" s="602">
        <v>11904</v>
      </c>
      <c r="K13" s="602" t="s">
        <v>325</v>
      </c>
      <c r="L13" s="602"/>
      <c r="M13" s="599"/>
      <c r="N13" s="599"/>
    </row>
    <row r="14" spans="1:18" ht="15.75" customHeight="1">
      <c r="A14" s="599"/>
      <c r="B14" s="600">
        <v>4056631003459</v>
      </c>
      <c r="C14" s="599" t="s">
        <v>332</v>
      </c>
      <c r="D14" s="599" t="s">
        <v>333</v>
      </c>
      <c r="E14" s="601">
        <v>260130</v>
      </c>
      <c r="F14" s="602">
        <v>2026001030</v>
      </c>
      <c r="G14" s="602">
        <v>2024004025</v>
      </c>
      <c r="H14" s="599" t="s">
        <v>333</v>
      </c>
      <c r="I14" s="602" t="s">
        <v>320</v>
      </c>
      <c r="J14" s="602">
        <v>1152</v>
      </c>
      <c r="K14" s="602" t="s">
        <v>328</v>
      </c>
      <c r="L14" s="602"/>
      <c r="M14" s="599"/>
      <c r="N14" s="599"/>
    </row>
    <row r="15" spans="1:18" ht="15.75" customHeight="1">
      <c r="A15" s="599"/>
      <c r="B15" s="600">
        <v>4056631003473</v>
      </c>
      <c r="C15" s="599" t="s">
        <v>339</v>
      </c>
      <c r="D15" s="599" t="s">
        <v>338</v>
      </c>
      <c r="E15" s="601">
        <v>250605</v>
      </c>
      <c r="F15" s="602">
        <v>2025006005</v>
      </c>
      <c r="G15" s="602">
        <v>2023009007</v>
      </c>
      <c r="H15" s="599" t="s">
        <v>338</v>
      </c>
      <c r="I15" s="602" t="s">
        <v>334</v>
      </c>
      <c r="J15" s="602">
        <v>2</v>
      </c>
      <c r="K15" s="602" t="s">
        <v>335</v>
      </c>
      <c r="L15" s="602"/>
      <c r="M15" s="599"/>
      <c r="N15" s="599"/>
    </row>
    <row r="16" spans="1:18" ht="15.75" customHeight="1">
      <c r="A16" s="599"/>
      <c r="B16" s="600">
        <v>4056631003473</v>
      </c>
      <c r="C16" s="599" t="s">
        <v>339</v>
      </c>
      <c r="D16" s="599" t="s">
        <v>338</v>
      </c>
      <c r="E16" s="601">
        <v>250626</v>
      </c>
      <c r="F16" s="602">
        <v>2025006026</v>
      </c>
      <c r="G16" s="602">
        <v>2023009019</v>
      </c>
      <c r="H16" s="599" t="s">
        <v>338</v>
      </c>
      <c r="I16" s="602" t="s">
        <v>334</v>
      </c>
      <c r="J16" s="602">
        <v>49</v>
      </c>
      <c r="K16" s="602" t="s">
        <v>335</v>
      </c>
      <c r="L16" s="602"/>
      <c r="M16" s="599"/>
      <c r="N16" s="599"/>
    </row>
    <row r="17" spans="1:14" ht="15.75" customHeight="1">
      <c r="A17" s="599"/>
      <c r="B17" s="600">
        <v>4056631003473</v>
      </c>
      <c r="C17" s="599" t="s">
        <v>339</v>
      </c>
      <c r="D17" s="599" t="s">
        <v>338</v>
      </c>
      <c r="E17" s="601">
        <v>250712</v>
      </c>
      <c r="F17" s="602">
        <v>2025007012</v>
      </c>
      <c r="G17" s="602">
        <v>2023011017</v>
      </c>
      <c r="H17" s="599" t="s">
        <v>338</v>
      </c>
      <c r="I17" s="602" t="s">
        <v>320</v>
      </c>
      <c r="J17" s="602">
        <v>2034</v>
      </c>
      <c r="K17" s="602" t="s">
        <v>321</v>
      </c>
      <c r="L17" s="602"/>
      <c r="M17" s="599"/>
      <c r="N17" s="599"/>
    </row>
    <row r="18" spans="1:14" ht="15.75" customHeight="1">
      <c r="A18" s="599"/>
      <c r="B18" s="600">
        <v>4056631003473</v>
      </c>
      <c r="C18" s="599" t="s">
        <v>339</v>
      </c>
      <c r="D18" s="599" t="s">
        <v>338</v>
      </c>
      <c r="E18" s="601">
        <v>250824</v>
      </c>
      <c r="F18" s="602">
        <v>2025008024</v>
      </c>
      <c r="G18" s="602">
        <v>2023012028</v>
      </c>
      <c r="H18" s="599" t="s">
        <v>338</v>
      </c>
      <c r="I18" s="602" t="s">
        <v>320</v>
      </c>
      <c r="J18" s="602">
        <v>10368</v>
      </c>
      <c r="K18" s="602" t="s">
        <v>321</v>
      </c>
      <c r="L18" s="602"/>
      <c r="M18" s="599"/>
      <c r="N18" s="599"/>
    </row>
    <row r="19" spans="1:14" ht="15.75" customHeight="1">
      <c r="A19" s="599"/>
      <c r="B19" s="600">
        <v>4056631003473</v>
      </c>
      <c r="C19" s="599" t="s">
        <v>339</v>
      </c>
      <c r="D19" s="599" t="s">
        <v>338</v>
      </c>
      <c r="E19" s="601">
        <v>251014</v>
      </c>
      <c r="F19" s="602">
        <v>2025010014</v>
      </c>
      <c r="G19" s="602">
        <v>2023012028</v>
      </c>
      <c r="H19" s="599" t="s">
        <v>338</v>
      </c>
      <c r="I19" s="602" t="s">
        <v>320</v>
      </c>
      <c r="J19" s="602">
        <v>5760</v>
      </c>
      <c r="K19" s="602" t="s">
        <v>321</v>
      </c>
      <c r="L19" s="602"/>
      <c r="M19" s="599"/>
      <c r="N19" s="599"/>
    </row>
    <row r="20" spans="1:14" ht="15.75" customHeight="1">
      <c r="A20" s="599"/>
      <c r="B20" s="600">
        <v>4056631003473</v>
      </c>
      <c r="C20" s="599" t="s">
        <v>339</v>
      </c>
      <c r="D20" s="599" t="s">
        <v>338</v>
      </c>
      <c r="E20" s="601">
        <v>251120</v>
      </c>
      <c r="F20" s="602">
        <v>2025011020</v>
      </c>
      <c r="G20" s="602">
        <v>2024002021</v>
      </c>
      <c r="H20" s="599" t="s">
        <v>338</v>
      </c>
      <c r="I20" s="602" t="s">
        <v>320</v>
      </c>
      <c r="J20" s="602">
        <v>240</v>
      </c>
      <c r="K20" s="602" t="s">
        <v>321</v>
      </c>
      <c r="L20" s="602"/>
      <c r="M20" s="599"/>
      <c r="N20" s="599"/>
    </row>
    <row r="21" spans="1:14" ht="15.75" customHeight="1">
      <c r="A21" s="599"/>
      <c r="B21" s="600">
        <v>4056631003473</v>
      </c>
      <c r="C21" s="599" t="s">
        <v>339</v>
      </c>
      <c r="D21" s="599" t="s">
        <v>338</v>
      </c>
      <c r="E21" s="601">
        <v>251120</v>
      </c>
      <c r="F21" s="602">
        <v>2025011020</v>
      </c>
      <c r="G21" s="602">
        <v>2024002021</v>
      </c>
      <c r="H21" s="599" t="s">
        <v>338</v>
      </c>
      <c r="I21" s="602" t="s">
        <v>320</v>
      </c>
      <c r="J21" s="602">
        <v>21648</v>
      </c>
      <c r="K21" s="602" t="s">
        <v>340</v>
      </c>
      <c r="L21" s="602"/>
      <c r="M21" s="599"/>
      <c r="N21" s="599"/>
    </row>
    <row r="22" spans="1:14" ht="15.75" customHeight="1">
      <c r="A22" s="599"/>
      <c r="B22" s="600">
        <v>4056631003473</v>
      </c>
      <c r="C22" s="599" t="s">
        <v>339</v>
      </c>
      <c r="D22" s="599" t="s">
        <v>338</v>
      </c>
      <c r="E22" s="601">
        <v>251120</v>
      </c>
      <c r="F22" s="602">
        <v>2025011020</v>
      </c>
      <c r="G22" s="602">
        <v>2024002022</v>
      </c>
      <c r="H22" s="599" t="s">
        <v>338</v>
      </c>
      <c r="I22" s="602" t="s">
        <v>320</v>
      </c>
      <c r="J22" s="602">
        <v>9600</v>
      </c>
      <c r="K22" s="602" t="s">
        <v>328</v>
      </c>
      <c r="L22" s="602"/>
      <c r="M22" s="599"/>
      <c r="N22" s="599"/>
    </row>
    <row r="23" spans="1:14" ht="15.75" customHeight="1">
      <c r="A23" s="599"/>
      <c r="B23" s="600">
        <v>4056631001202</v>
      </c>
      <c r="C23" s="599" t="s">
        <v>326</v>
      </c>
      <c r="D23" s="599" t="s">
        <v>326</v>
      </c>
      <c r="E23" s="601">
        <v>241211</v>
      </c>
      <c r="F23" s="602">
        <v>2024012011</v>
      </c>
      <c r="G23" s="602">
        <v>2023008025</v>
      </c>
      <c r="H23" s="599" t="s">
        <v>326</v>
      </c>
      <c r="I23" s="602" t="s">
        <v>334</v>
      </c>
      <c r="J23" s="602">
        <v>10</v>
      </c>
      <c r="K23" s="602" t="s">
        <v>335</v>
      </c>
      <c r="L23" s="602"/>
      <c r="M23" s="599"/>
      <c r="N23" s="599"/>
    </row>
    <row r="24" spans="1:14" ht="15.75" customHeight="1">
      <c r="A24" s="599"/>
      <c r="B24" s="600">
        <v>4056631001202</v>
      </c>
      <c r="C24" s="599" t="s">
        <v>326</v>
      </c>
      <c r="D24" s="599" t="s">
        <v>326</v>
      </c>
      <c r="E24" s="601">
        <v>241211</v>
      </c>
      <c r="F24" s="602">
        <v>2024012011</v>
      </c>
      <c r="G24" s="602">
        <v>2023008028</v>
      </c>
      <c r="H24" s="599" t="s">
        <v>326</v>
      </c>
      <c r="I24" s="602" t="s">
        <v>320</v>
      </c>
      <c r="J24" s="602">
        <v>204</v>
      </c>
      <c r="K24" s="602" t="s">
        <v>328</v>
      </c>
      <c r="L24" s="602"/>
      <c r="M24" s="599"/>
      <c r="N24" s="599"/>
    </row>
    <row r="25" spans="1:14" ht="15.75" customHeight="1">
      <c r="A25" s="599"/>
      <c r="B25" s="600">
        <v>4056631001202</v>
      </c>
      <c r="C25" s="599" t="s">
        <v>326</v>
      </c>
      <c r="D25" s="599" t="s">
        <v>326</v>
      </c>
      <c r="E25" s="601">
        <v>241211</v>
      </c>
      <c r="F25" s="602">
        <v>2024012011</v>
      </c>
      <c r="G25" s="602">
        <v>2023009026</v>
      </c>
      <c r="H25" s="599" t="s">
        <v>326</v>
      </c>
      <c r="I25" s="602" t="s">
        <v>320</v>
      </c>
      <c r="J25" s="602">
        <v>280</v>
      </c>
      <c r="K25" s="602" t="s">
        <v>321</v>
      </c>
      <c r="L25" s="602"/>
      <c r="M25" s="599"/>
      <c r="N25" s="599"/>
    </row>
    <row r="26" spans="1:14" ht="15.75" customHeight="1">
      <c r="A26" s="599"/>
      <c r="B26" s="600">
        <v>4056631001202</v>
      </c>
      <c r="C26" s="599" t="s">
        <v>326</v>
      </c>
      <c r="D26" s="599" t="s">
        <v>326</v>
      </c>
      <c r="E26" s="601">
        <v>241211</v>
      </c>
      <c r="F26" s="602">
        <v>2024012011</v>
      </c>
      <c r="G26" s="602">
        <v>2023009026</v>
      </c>
      <c r="H26" s="599" t="s">
        <v>326</v>
      </c>
      <c r="I26" s="602" t="s">
        <v>320</v>
      </c>
      <c r="J26" s="602">
        <v>3230</v>
      </c>
      <c r="K26" s="602" t="s">
        <v>328</v>
      </c>
      <c r="L26" s="602"/>
      <c r="M26" s="599"/>
      <c r="N26" s="599"/>
    </row>
    <row r="27" spans="1:14" ht="15.75" customHeight="1">
      <c r="A27" s="599"/>
      <c r="B27" s="600">
        <v>4056631001202</v>
      </c>
      <c r="C27" s="599" t="s">
        <v>326</v>
      </c>
      <c r="D27" s="599" t="s">
        <v>326</v>
      </c>
      <c r="E27" s="601">
        <v>250402</v>
      </c>
      <c r="F27" s="602">
        <v>2025004002</v>
      </c>
      <c r="G27" s="602">
        <v>2024001018</v>
      </c>
      <c r="H27" s="599" t="s">
        <v>326</v>
      </c>
      <c r="I27" s="602" t="s">
        <v>320</v>
      </c>
      <c r="J27" s="602">
        <v>1620</v>
      </c>
      <c r="K27" s="602" t="s">
        <v>340</v>
      </c>
      <c r="L27" s="602"/>
      <c r="M27" s="599"/>
      <c r="N27" s="599"/>
    </row>
    <row r="28" spans="1:14" ht="15.75" customHeight="1">
      <c r="A28" s="599"/>
      <c r="B28" s="600">
        <v>4056631001226</v>
      </c>
      <c r="C28" s="599" t="s">
        <v>341</v>
      </c>
      <c r="D28" s="599" t="s">
        <v>329</v>
      </c>
      <c r="E28" s="601">
        <v>250710</v>
      </c>
      <c r="F28" s="602">
        <v>2025007010</v>
      </c>
      <c r="G28" s="602">
        <v>2024005009</v>
      </c>
      <c r="H28" s="599" t="s">
        <v>329</v>
      </c>
      <c r="I28" s="602" t="s">
        <v>320</v>
      </c>
      <c r="J28" s="602">
        <v>484</v>
      </c>
      <c r="K28" s="602" t="s">
        <v>325</v>
      </c>
      <c r="L28" s="602"/>
      <c r="M28" s="599"/>
      <c r="N28" s="599"/>
    </row>
    <row r="29" spans="1:14" ht="15.75" customHeight="1">
      <c r="A29" s="599"/>
      <c r="B29" s="600">
        <v>4056631001226</v>
      </c>
      <c r="C29" s="599" t="s">
        <v>341</v>
      </c>
      <c r="D29" s="599" t="s">
        <v>329</v>
      </c>
      <c r="E29" s="601">
        <v>250710</v>
      </c>
      <c r="F29" s="602">
        <v>2025007010</v>
      </c>
      <c r="G29" s="602">
        <v>2024005009</v>
      </c>
      <c r="H29" s="599" t="s">
        <v>329</v>
      </c>
      <c r="I29" s="602" t="s">
        <v>320</v>
      </c>
      <c r="J29" s="602">
        <v>4860</v>
      </c>
      <c r="K29" s="602" t="s">
        <v>328</v>
      </c>
      <c r="L29" s="602"/>
      <c r="M29" s="599"/>
      <c r="N29" s="599"/>
    </row>
    <row r="30" spans="1:14" ht="15.75" customHeight="1">
      <c r="A30" s="599"/>
      <c r="B30" s="600">
        <v>4056631001226</v>
      </c>
      <c r="C30" s="599" t="s">
        <v>341</v>
      </c>
      <c r="D30" s="599" t="s">
        <v>329</v>
      </c>
      <c r="E30" s="601">
        <v>250826</v>
      </c>
      <c r="F30" s="602">
        <v>2025008026</v>
      </c>
      <c r="G30" s="602">
        <v>2024006007</v>
      </c>
      <c r="H30" s="599" t="s">
        <v>329</v>
      </c>
      <c r="I30" s="602" t="s">
        <v>320</v>
      </c>
      <c r="J30" s="602">
        <v>5130</v>
      </c>
      <c r="K30" s="602" t="s">
        <v>340</v>
      </c>
      <c r="L30" s="602"/>
      <c r="M30" s="599"/>
      <c r="N30" s="599"/>
    </row>
    <row r="31" spans="1:14" ht="15.75" customHeight="1">
      <c r="A31" s="599"/>
      <c r="B31" s="600">
        <v>4056631001240</v>
      </c>
      <c r="C31" s="599" t="s">
        <v>342</v>
      </c>
      <c r="D31" s="599" t="s">
        <v>330</v>
      </c>
      <c r="E31" s="601">
        <v>241221</v>
      </c>
      <c r="F31" s="602">
        <v>2024012021</v>
      </c>
      <c r="G31" s="602">
        <v>2023009026</v>
      </c>
      <c r="H31" s="599" t="s">
        <v>330</v>
      </c>
      <c r="I31" s="602" t="s">
        <v>320</v>
      </c>
      <c r="J31" s="602">
        <v>1072</v>
      </c>
      <c r="K31" s="602" t="s">
        <v>321</v>
      </c>
      <c r="L31" s="602"/>
      <c r="M31" s="599"/>
      <c r="N31" s="599"/>
    </row>
    <row r="32" spans="1:14" ht="15.75" customHeight="1">
      <c r="A32" s="599"/>
      <c r="B32" s="600">
        <v>4056631001240</v>
      </c>
      <c r="C32" s="599" t="s">
        <v>342</v>
      </c>
      <c r="D32" s="599" t="s">
        <v>330</v>
      </c>
      <c r="E32" s="601">
        <v>241221</v>
      </c>
      <c r="F32" s="602">
        <v>2024012021</v>
      </c>
      <c r="G32" s="602">
        <v>2023009026</v>
      </c>
      <c r="H32" s="599" t="s">
        <v>330</v>
      </c>
      <c r="I32" s="602" t="s">
        <v>320</v>
      </c>
      <c r="J32" s="602">
        <v>207</v>
      </c>
      <c r="K32" s="602" t="s">
        <v>328</v>
      </c>
      <c r="L32" s="602"/>
      <c r="M32" s="599"/>
      <c r="N32" s="599"/>
    </row>
    <row r="33" spans="1:14" ht="15.75" customHeight="1">
      <c r="A33" s="599"/>
      <c r="B33" s="600">
        <v>4056631001240</v>
      </c>
      <c r="C33" s="599" t="s">
        <v>342</v>
      </c>
      <c r="D33" s="599" t="s">
        <v>330</v>
      </c>
      <c r="E33" s="601">
        <v>250403</v>
      </c>
      <c r="F33" s="602">
        <v>2025004003</v>
      </c>
      <c r="G33" s="602">
        <v>2024001018</v>
      </c>
      <c r="H33" s="599" t="s">
        <v>330</v>
      </c>
      <c r="I33" s="602" t="s">
        <v>320</v>
      </c>
      <c r="J33" s="602">
        <v>2430</v>
      </c>
      <c r="K33" s="602" t="s">
        <v>340</v>
      </c>
      <c r="L33" s="602"/>
      <c r="M33" s="599"/>
      <c r="N33" s="599"/>
    </row>
    <row r="34" spans="1:14" ht="15.75" customHeight="1">
      <c r="A34" s="599"/>
      <c r="B34" s="600">
        <v>4056631001264</v>
      </c>
      <c r="C34" s="599" t="s">
        <v>343</v>
      </c>
      <c r="D34" s="599" t="s">
        <v>331</v>
      </c>
      <c r="E34" s="602">
        <v>241221</v>
      </c>
      <c r="F34" s="602">
        <v>2024012021</v>
      </c>
      <c r="G34" s="602">
        <v>2023009026</v>
      </c>
      <c r="H34" s="599" t="s">
        <v>331</v>
      </c>
      <c r="I34" s="602" t="s">
        <v>320</v>
      </c>
      <c r="J34" s="602">
        <v>648</v>
      </c>
      <c r="K34" s="602" t="s">
        <v>321</v>
      </c>
      <c r="L34" s="602"/>
      <c r="M34" s="599"/>
      <c r="N34" s="599"/>
    </row>
    <row r="35" spans="1:14" ht="15.75" customHeight="1">
      <c r="A35" s="599"/>
      <c r="B35" s="600">
        <v>4056631001264</v>
      </c>
      <c r="C35" s="599" t="s">
        <v>343</v>
      </c>
      <c r="D35" s="599" t="s">
        <v>331</v>
      </c>
      <c r="E35" s="602">
        <v>250404</v>
      </c>
      <c r="F35" s="602">
        <v>2025004004</v>
      </c>
      <c r="G35" s="602">
        <v>2024001018</v>
      </c>
      <c r="H35" s="599" t="s">
        <v>331</v>
      </c>
      <c r="I35" s="602" t="s">
        <v>320</v>
      </c>
      <c r="J35" s="602">
        <v>540</v>
      </c>
      <c r="K35" s="602" t="s">
        <v>340</v>
      </c>
      <c r="L35" s="602"/>
      <c r="M35" s="599"/>
      <c r="N35" s="599"/>
    </row>
    <row r="36" spans="1:14" ht="15.75" customHeight="1">
      <c r="A36" s="599"/>
      <c r="B36" s="600">
        <v>4056631001264</v>
      </c>
      <c r="C36" s="599" t="s">
        <v>343</v>
      </c>
      <c r="D36" s="599" t="s">
        <v>331</v>
      </c>
      <c r="E36" s="602">
        <v>250820</v>
      </c>
      <c r="F36" s="602">
        <v>2025008020</v>
      </c>
      <c r="G36" s="602">
        <v>2024006007</v>
      </c>
      <c r="H36" s="599" t="s">
        <v>331</v>
      </c>
      <c r="I36" s="602" t="s">
        <v>320</v>
      </c>
      <c r="J36" s="602">
        <v>810</v>
      </c>
      <c r="K36" s="602" t="s">
        <v>340</v>
      </c>
      <c r="L36" s="609"/>
      <c r="M36" s="602"/>
      <c r="N36" s="599"/>
    </row>
    <row r="37" spans="1:14" ht="15">
      <c r="A37" s="610"/>
      <c r="B37" s="599">
        <v>4056631001264</v>
      </c>
      <c r="C37" s="599" t="s">
        <v>343</v>
      </c>
      <c r="D37" s="599" t="s">
        <v>331</v>
      </c>
      <c r="E37" s="602">
        <v>250820</v>
      </c>
      <c r="F37" s="602">
        <v>2025008020</v>
      </c>
      <c r="G37" s="602">
        <v>2024006007</v>
      </c>
      <c r="H37" s="599" t="s">
        <v>331</v>
      </c>
      <c r="I37" s="602" t="s">
        <v>320</v>
      </c>
      <c r="J37" s="602">
        <v>810</v>
      </c>
      <c r="K37" s="602" t="s">
        <v>340</v>
      </c>
      <c r="M37" s="183"/>
      <c r="N37" s="183"/>
    </row>
    <row r="38" spans="1:14" ht="12.75">
      <c r="B38" s="75"/>
      <c r="F38" s="611"/>
    </row>
    <row r="39" spans="1:14" ht="12.75">
      <c r="B39" s="75"/>
      <c r="F39" s="611"/>
    </row>
    <row r="40" spans="1:14" ht="12.75">
      <c r="B40" s="75"/>
      <c r="F40" s="611"/>
    </row>
    <row r="41" spans="1:14" ht="12.75">
      <c r="B41" s="75"/>
      <c r="F41" s="611"/>
    </row>
    <row r="42" spans="1:14" ht="12.75">
      <c r="B42" s="75"/>
      <c r="F42" s="611"/>
    </row>
    <row r="43" spans="1:14" ht="12.75">
      <c r="B43" s="75"/>
      <c r="F43" s="611"/>
    </row>
    <row r="44" spans="1:14" ht="12.75">
      <c r="B44" s="75"/>
      <c r="F44" s="611"/>
    </row>
    <row r="45" spans="1:14" ht="12.75">
      <c r="B45" s="75"/>
      <c r="F45" s="611"/>
    </row>
    <row r="46" spans="1:14" ht="12.75">
      <c r="B46" s="75"/>
      <c r="F46" s="611"/>
    </row>
    <row r="47" spans="1:14" ht="12.75">
      <c r="B47" s="75"/>
      <c r="F47" s="611"/>
    </row>
    <row r="48" spans="1:14" ht="12.75">
      <c r="B48" s="75"/>
      <c r="F48" s="611"/>
    </row>
    <row r="49" spans="2:6" ht="12.75">
      <c r="B49" s="75"/>
      <c r="F49" s="611"/>
    </row>
    <row r="50" spans="2:6" ht="12.75">
      <c r="B50" s="75"/>
      <c r="F50" s="611"/>
    </row>
    <row r="51" spans="2:6" ht="12.75">
      <c r="B51" s="75"/>
      <c r="F51" s="611"/>
    </row>
    <row r="52" spans="2:6" ht="12.75">
      <c r="B52" s="75"/>
      <c r="F52" s="611"/>
    </row>
    <row r="53" spans="2:6" ht="12.75">
      <c r="B53" s="75"/>
      <c r="F53" s="611"/>
    </row>
    <row r="54" spans="2:6" ht="12.75">
      <c r="B54" s="75"/>
      <c r="F54" s="611"/>
    </row>
    <row r="55" spans="2:6" ht="12.75">
      <c r="B55" s="75"/>
      <c r="F55" s="611"/>
    </row>
    <row r="56" spans="2:6" ht="12.75">
      <c r="B56" s="75"/>
      <c r="F56" s="611"/>
    </row>
    <row r="57" spans="2:6" ht="12.75">
      <c r="B57" s="75"/>
      <c r="F57" s="611"/>
    </row>
    <row r="58" spans="2:6" ht="12.75">
      <c r="B58" s="75"/>
      <c r="F58" s="611"/>
    </row>
    <row r="59" spans="2:6" ht="12.75">
      <c r="B59" s="75"/>
      <c r="F59" s="611"/>
    </row>
    <row r="60" spans="2:6" ht="12.75">
      <c r="B60" s="75"/>
      <c r="F60" s="611"/>
    </row>
    <row r="61" spans="2:6" ht="12.75">
      <c r="B61" s="75"/>
      <c r="F61" s="611"/>
    </row>
    <row r="62" spans="2:6" ht="12.75">
      <c r="B62" s="75"/>
      <c r="F62" s="611"/>
    </row>
    <row r="63" spans="2:6" ht="12.75">
      <c r="B63" s="75"/>
      <c r="F63" s="611"/>
    </row>
    <row r="64" spans="2:6" ht="12.75">
      <c r="B64" s="75"/>
      <c r="F64" s="611"/>
    </row>
    <row r="65" spans="2:6" ht="12.75">
      <c r="B65" s="75"/>
      <c r="F65" s="611"/>
    </row>
    <row r="66" spans="2:6" ht="12.75">
      <c r="B66" s="75"/>
      <c r="F66" s="611"/>
    </row>
    <row r="67" spans="2:6" ht="12.75">
      <c r="B67" s="75"/>
      <c r="F67" s="611"/>
    </row>
    <row r="68" spans="2:6" ht="12.75">
      <c r="B68" s="75"/>
      <c r="F68" s="611"/>
    </row>
    <row r="69" spans="2:6" ht="12.75">
      <c r="B69" s="75"/>
      <c r="F69" s="611"/>
    </row>
    <row r="70" spans="2:6" ht="12.75">
      <c r="B70" s="75"/>
      <c r="F70" s="611"/>
    </row>
    <row r="71" spans="2:6" ht="12.75">
      <c r="B71" s="75"/>
      <c r="F71" s="611"/>
    </row>
    <row r="72" spans="2:6" ht="12.75">
      <c r="B72" s="75"/>
      <c r="F72" s="611"/>
    </row>
    <row r="73" spans="2:6" ht="12.75">
      <c r="B73" s="75"/>
      <c r="F73" s="611"/>
    </row>
    <row r="74" spans="2:6" ht="12.75">
      <c r="B74" s="75"/>
      <c r="F74" s="611"/>
    </row>
    <row r="75" spans="2:6" ht="12.75">
      <c r="B75" s="75"/>
      <c r="F75" s="611"/>
    </row>
    <row r="76" spans="2:6" ht="12.75">
      <c r="B76" s="75"/>
      <c r="F76" s="611"/>
    </row>
    <row r="77" spans="2:6" ht="12.75">
      <c r="B77" s="75"/>
      <c r="F77" s="611"/>
    </row>
    <row r="78" spans="2:6" ht="12.75">
      <c r="B78" s="75"/>
      <c r="F78" s="611"/>
    </row>
    <row r="79" spans="2:6" ht="12.75">
      <c r="B79" s="75"/>
      <c r="F79" s="611"/>
    </row>
    <row r="80" spans="2:6" ht="12.75">
      <c r="B80" s="75"/>
      <c r="F80" s="611"/>
    </row>
    <row r="81" spans="2:6" ht="12.75">
      <c r="B81" s="75"/>
      <c r="F81" s="611"/>
    </row>
    <row r="82" spans="2:6" ht="12.75">
      <c r="B82" s="75"/>
      <c r="F82" s="611"/>
    </row>
    <row r="83" spans="2:6" ht="12.75">
      <c r="B83" s="75"/>
      <c r="F83" s="611"/>
    </row>
    <row r="84" spans="2:6" ht="12.75">
      <c r="B84" s="75"/>
      <c r="F84" s="611"/>
    </row>
    <row r="85" spans="2:6" ht="12.75">
      <c r="B85" s="75"/>
      <c r="F85" s="611"/>
    </row>
    <row r="86" spans="2:6" ht="12.75">
      <c r="B86" s="75"/>
      <c r="F86" s="611"/>
    </row>
    <row r="87" spans="2:6" ht="12.75">
      <c r="B87" s="75"/>
      <c r="F87" s="611"/>
    </row>
    <row r="88" spans="2:6" ht="12.75">
      <c r="B88" s="75"/>
      <c r="F88" s="611"/>
    </row>
    <row r="89" spans="2:6" ht="12.75">
      <c r="B89" s="75"/>
      <c r="F89" s="611"/>
    </row>
    <row r="90" spans="2:6" ht="12.75">
      <c r="B90" s="75"/>
      <c r="F90" s="611"/>
    </row>
    <row r="91" spans="2:6" ht="12.75">
      <c r="B91" s="75"/>
      <c r="F91" s="611"/>
    </row>
    <row r="92" spans="2:6" ht="12.75">
      <c r="B92" s="75"/>
      <c r="F92" s="611"/>
    </row>
    <row r="93" spans="2:6" ht="12.75">
      <c r="B93" s="75"/>
      <c r="F93" s="611"/>
    </row>
    <row r="94" spans="2:6" ht="12.75">
      <c r="B94" s="75"/>
      <c r="F94" s="611"/>
    </row>
    <row r="95" spans="2:6" ht="12.75">
      <c r="B95" s="75"/>
      <c r="F95" s="611"/>
    </row>
    <row r="96" spans="2:6" ht="12.75">
      <c r="B96" s="75"/>
      <c r="F96" s="611"/>
    </row>
    <row r="97" spans="2:6" ht="12.75">
      <c r="B97" s="75"/>
      <c r="F97" s="611"/>
    </row>
    <row r="98" spans="2:6" ht="12.75">
      <c r="B98" s="75"/>
      <c r="F98" s="611"/>
    </row>
    <row r="99" spans="2:6" ht="12.75">
      <c r="B99" s="75"/>
      <c r="F99" s="611"/>
    </row>
    <row r="100" spans="2:6" ht="12.75">
      <c r="B100" s="75"/>
      <c r="F100" s="611"/>
    </row>
    <row r="101" spans="2:6" ht="12.75">
      <c r="B101" s="75"/>
      <c r="F101" s="611"/>
    </row>
    <row r="102" spans="2:6" ht="12.75">
      <c r="B102" s="75"/>
      <c r="F102" s="611"/>
    </row>
    <row r="103" spans="2:6" ht="12.75">
      <c r="B103" s="75"/>
      <c r="F103" s="611"/>
    </row>
    <row r="104" spans="2:6" ht="12.75">
      <c r="B104" s="75"/>
      <c r="F104" s="611"/>
    </row>
    <row r="105" spans="2:6" ht="12.75">
      <c r="B105" s="75"/>
      <c r="F105" s="611"/>
    </row>
    <row r="106" spans="2:6" ht="12.75">
      <c r="B106" s="75"/>
      <c r="F106" s="611"/>
    </row>
    <row r="107" spans="2:6" ht="12.75">
      <c r="B107" s="75"/>
      <c r="F107" s="611"/>
    </row>
    <row r="108" spans="2:6" ht="12.75">
      <c r="B108" s="75"/>
      <c r="F108" s="611"/>
    </row>
    <row r="109" spans="2:6" ht="12.75">
      <c r="B109" s="75"/>
      <c r="F109" s="611"/>
    </row>
    <row r="110" spans="2:6" ht="12.75">
      <c r="B110" s="75"/>
      <c r="F110" s="611"/>
    </row>
    <row r="111" spans="2:6" ht="12.75">
      <c r="B111" s="75"/>
      <c r="F111" s="611"/>
    </row>
    <row r="112" spans="2:6" ht="12.75">
      <c r="B112" s="75"/>
      <c r="F112" s="611"/>
    </row>
    <row r="113" spans="2:6" ht="12.75">
      <c r="B113" s="75"/>
      <c r="F113" s="611"/>
    </row>
    <row r="114" spans="2:6" ht="12.75">
      <c r="B114" s="75"/>
      <c r="F114" s="611"/>
    </row>
    <row r="115" spans="2:6" ht="12.75">
      <c r="B115" s="75"/>
      <c r="F115" s="611"/>
    </row>
    <row r="116" spans="2:6" ht="12.75">
      <c r="B116" s="75"/>
      <c r="F116" s="611"/>
    </row>
    <row r="117" spans="2:6" ht="12.75">
      <c r="B117" s="75"/>
      <c r="F117" s="611"/>
    </row>
    <row r="118" spans="2:6" ht="12.75">
      <c r="B118" s="75"/>
      <c r="F118" s="611"/>
    </row>
    <row r="119" spans="2:6" ht="12.75">
      <c r="B119" s="75"/>
      <c r="F119" s="611"/>
    </row>
    <row r="120" spans="2:6" ht="12.75">
      <c r="B120" s="75"/>
      <c r="F120" s="611"/>
    </row>
    <row r="121" spans="2:6" ht="12.75">
      <c r="B121" s="75"/>
      <c r="F121" s="611"/>
    </row>
    <row r="122" spans="2:6" ht="12.75">
      <c r="B122" s="75"/>
      <c r="F122" s="611"/>
    </row>
    <row r="123" spans="2:6" ht="12.75">
      <c r="B123" s="75"/>
      <c r="F123" s="611"/>
    </row>
    <row r="124" spans="2:6" ht="12.75">
      <c r="B124" s="75"/>
      <c r="F124" s="611"/>
    </row>
    <row r="125" spans="2:6" ht="12.75">
      <c r="B125" s="75"/>
      <c r="F125" s="611"/>
    </row>
    <row r="126" spans="2:6" ht="12.75">
      <c r="B126" s="75"/>
      <c r="F126" s="611"/>
    </row>
    <row r="127" spans="2:6" ht="12.75">
      <c r="B127" s="75"/>
      <c r="F127" s="611"/>
    </row>
    <row r="128" spans="2:6" ht="12.75">
      <c r="B128" s="75"/>
      <c r="F128" s="611"/>
    </row>
    <row r="129" spans="2:6" ht="12.75">
      <c r="B129" s="75"/>
      <c r="F129" s="611"/>
    </row>
    <row r="130" spans="2:6" ht="12.75">
      <c r="B130" s="75"/>
      <c r="F130" s="611"/>
    </row>
    <row r="131" spans="2:6" ht="12.75">
      <c r="B131" s="75"/>
      <c r="F131" s="611"/>
    </row>
    <row r="132" spans="2:6" ht="12.75">
      <c r="B132" s="75"/>
      <c r="F132" s="611"/>
    </row>
    <row r="133" spans="2:6" ht="12.75">
      <c r="B133" s="75"/>
      <c r="F133" s="611"/>
    </row>
    <row r="134" spans="2:6" ht="12.75">
      <c r="B134" s="75"/>
      <c r="F134" s="611"/>
    </row>
    <row r="135" spans="2:6" ht="12.75">
      <c r="B135" s="75"/>
      <c r="F135" s="611"/>
    </row>
    <row r="136" spans="2:6" ht="12.75">
      <c r="B136" s="75"/>
      <c r="F136" s="611"/>
    </row>
    <row r="137" spans="2:6" ht="12.75">
      <c r="B137" s="75"/>
      <c r="F137" s="611"/>
    </row>
    <row r="138" spans="2:6" ht="12.75">
      <c r="B138" s="75"/>
      <c r="F138" s="611"/>
    </row>
    <row r="139" spans="2:6" ht="12.75">
      <c r="B139" s="75"/>
      <c r="F139" s="611"/>
    </row>
    <row r="140" spans="2:6" ht="12.75">
      <c r="B140" s="75"/>
      <c r="F140" s="611"/>
    </row>
    <row r="141" spans="2:6" ht="12.75">
      <c r="B141" s="75"/>
      <c r="F141" s="611"/>
    </row>
    <row r="142" spans="2:6" ht="12.75">
      <c r="B142" s="75"/>
      <c r="F142" s="611"/>
    </row>
    <row r="143" spans="2:6" ht="12.75">
      <c r="B143" s="75"/>
      <c r="F143" s="611"/>
    </row>
    <row r="144" spans="2:6" ht="12.75">
      <c r="B144" s="75"/>
      <c r="F144" s="611"/>
    </row>
    <row r="145" spans="2:6" ht="12.75">
      <c r="B145" s="75"/>
      <c r="F145" s="611"/>
    </row>
    <row r="146" spans="2:6" ht="12.75">
      <c r="B146" s="75"/>
      <c r="F146" s="611"/>
    </row>
    <row r="147" spans="2:6" ht="12.75">
      <c r="B147" s="75"/>
      <c r="F147" s="611"/>
    </row>
    <row r="148" spans="2:6" ht="12.75">
      <c r="B148" s="75"/>
      <c r="F148" s="611"/>
    </row>
    <row r="149" spans="2:6" ht="12.75">
      <c r="B149" s="75"/>
      <c r="F149" s="611"/>
    </row>
    <row r="150" spans="2:6" ht="12.75">
      <c r="B150" s="75"/>
      <c r="F150" s="611"/>
    </row>
    <row r="151" spans="2:6" ht="12.75">
      <c r="B151" s="75"/>
      <c r="F151" s="611"/>
    </row>
    <row r="152" spans="2:6" ht="12.75">
      <c r="B152" s="75"/>
      <c r="F152" s="611"/>
    </row>
    <row r="153" spans="2:6" ht="12.75">
      <c r="B153" s="75"/>
      <c r="F153" s="611"/>
    </row>
    <row r="154" spans="2:6" ht="12.75">
      <c r="B154" s="75"/>
      <c r="F154" s="611"/>
    </row>
    <row r="155" spans="2:6" ht="12.75">
      <c r="B155" s="75"/>
      <c r="F155" s="611"/>
    </row>
    <row r="156" spans="2:6" ht="12.75">
      <c r="B156" s="75"/>
      <c r="F156" s="611"/>
    </row>
    <row r="157" spans="2:6" ht="12.75">
      <c r="B157" s="75"/>
      <c r="F157" s="611"/>
    </row>
    <row r="158" spans="2:6" ht="12.75">
      <c r="B158" s="75"/>
      <c r="F158" s="611"/>
    </row>
    <row r="159" spans="2:6" ht="12.75">
      <c r="B159" s="75"/>
      <c r="F159" s="611"/>
    </row>
    <row r="160" spans="2:6" ht="12.75">
      <c r="B160" s="75"/>
      <c r="F160" s="611"/>
    </row>
    <row r="161" spans="2:6" ht="12.75">
      <c r="B161" s="75"/>
      <c r="F161" s="611"/>
    </row>
    <row r="162" spans="2:6" ht="12.75">
      <c r="B162" s="75"/>
      <c r="F162" s="611"/>
    </row>
    <row r="163" spans="2:6" ht="12.75">
      <c r="B163" s="75"/>
      <c r="F163" s="611"/>
    </row>
    <row r="164" spans="2:6" ht="12.75">
      <c r="B164" s="75"/>
      <c r="F164" s="611"/>
    </row>
    <row r="165" spans="2:6" ht="12.75">
      <c r="B165" s="75"/>
      <c r="F165" s="611"/>
    </row>
    <row r="166" spans="2:6" ht="12.75">
      <c r="B166" s="75"/>
      <c r="F166" s="611"/>
    </row>
    <row r="167" spans="2:6" ht="12.75">
      <c r="B167" s="75"/>
      <c r="F167" s="611"/>
    </row>
    <row r="168" spans="2:6" ht="12.75">
      <c r="B168" s="75"/>
      <c r="F168" s="611"/>
    </row>
    <row r="169" spans="2:6" ht="12.75">
      <c r="B169" s="75"/>
      <c r="F169" s="611"/>
    </row>
    <row r="170" spans="2:6" ht="12.75">
      <c r="B170" s="75"/>
      <c r="F170" s="611"/>
    </row>
    <row r="171" spans="2:6" ht="12.75">
      <c r="B171" s="75"/>
      <c r="F171" s="611"/>
    </row>
    <row r="172" spans="2:6" ht="12.75">
      <c r="B172" s="75"/>
      <c r="F172" s="611"/>
    </row>
    <row r="173" spans="2:6" ht="12.75">
      <c r="B173" s="75"/>
      <c r="F173" s="611"/>
    </row>
    <row r="174" spans="2:6" ht="12.75">
      <c r="B174" s="75"/>
      <c r="F174" s="611"/>
    </row>
    <row r="175" spans="2:6" ht="12.75">
      <c r="B175" s="75"/>
      <c r="F175" s="611"/>
    </row>
    <row r="176" spans="2:6" ht="12.75">
      <c r="B176" s="75"/>
      <c r="F176" s="611"/>
    </row>
    <row r="177" spans="2:6" ht="12.75">
      <c r="B177" s="75"/>
      <c r="F177" s="611"/>
    </row>
    <row r="178" spans="2:6" ht="12.75">
      <c r="B178" s="75"/>
      <c r="F178" s="611"/>
    </row>
    <row r="179" spans="2:6" ht="12.75">
      <c r="B179" s="75"/>
      <c r="F179" s="611"/>
    </row>
    <row r="180" spans="2:6" ht="12.75">
      <c r="B180" s="75"/>
      <c r="F180" s="611"/>
    </row>
    <row r="181" spans="2:6" ht="12.75">
      <c r="B181" s="75"/>
      <c r="F181" s="611"/>
    </row>
    <row r="182" spans="2:6" ht="12.75">
      <c r="B182" s="75"/>
      <c r="F182" s="611"/>
    </row>
    <row r="183" spans="2:6" ht="12.75">
      <c r="B183" s="75"/>
      <c r="F183" s="611"/>
    </row>
    <row r="184" spans="2:6" ht="12.75">
      <c r="B184" s="75"/>
      <c r="F184" s="611"/>
    </row>
    <row r="185" spans="2:6" ht="12.75">
      <c r="B185" s="75"/>
      <c r="F185" s="611"/>
    </row>
    <row r="186" spans="2:6" ht="12.75">
      <c r="B186" s="75"/>
      <c r="F186" s="611"/>
    </row>
    <row r="187" spans="2:6" ht="12.75">
      <c r="B187" s="75"/>
      <c r="F187" s="611"/>
    </row>
    <row r="188" spans="2:6" ht="12.75">
      <c r="B188" s="75"/>
      <c r="F188" s="611"/>
    </row>
    <row r="189" spans="2:6" ht="12.75">
      <c r="B189" s="75"/>
      <c r="F189" s="611"/>
    </row>
    <row r="190" spans="2:6" ht="12.75">
      <c r="B190" s="75"/>
      <c r="F190" s="611"/>
    </row>
    <row r="191" spans="2:6" ht="12.75">
      <c r="B191" s="75"/>
      <c r="F191" s="611"/>
    </row>
    <row r="192" spans="2:6" ht="12.75">
      <c r="B192" s="75"/>
      <c r="F192" s="611"/>
    </row>
    <row r="193" spans="2:6" ht="12.75">
      <c r="B193" s="75"/>
      <c r="F193" s="611"/>
    </row>
    <row r="194" spans="2:6" ht="12.75">
      <c r="B194" s="75"/>
      <c r="F194" s="611"/>
    </row>
    <row r="195" spans="2:6" ht="12.75">
      <c r="B195" s="75"/>
      <c r="F195" s="611"/>
    </row>
    <row r="196" spans="2:6" ht="12.75">
      <c r="B196" s="75"/>
      <c r="F196" s="611"/>
    </row>
    <row r="197" spans="2:6" ht="12.75">
      <c r="B197" s="75"/>
      <c r="F197" s="611"/>
    </row>
    <row r="198" spans="2:6" ht="12.75">
      <c r="B198" s="75"/>
      <c r="F198" s="611"/>
    </row>
    <row r="199" spans="2:6" ht="12.75">
      <c r="B199" s="75"/>
      <c r="F199" s="611"/>
    </row>
    <row r="200" spans="2:6" ht="12.75">
      <c r="B200" s="75"/>
      <c r="F200" s="611"/>
    </row>
    <row r="201" spans="2:6" ht="12.75">
      <c r="B201" s="75"/>
      <c r="F201" s="611"/>
    </row>
    <row r="202" spans="2:6" ht="12.75">
      <c r="B202" s="75"/>
      <c r="F202" s="611"/>
    </row>
    <row r="203" spans="2:6" ht="12.75">
      <c r="B203" s="75"/>
      <c r="F203" s="611"/>
    </row>
    <row r="204" spans="2:6" ht="12.75">
      <c r="B204" s="75"/>
      <c r="F204" s="611"/>
    </row>
    <row r="205" spans="2:6" ht="12.75">
      <c r="B205" s="75"/>
      <c r="F205" s="611"/>
    </row>
    <row r="206" spans="2:6" ht="12.75">
      <c r="B206" s="75"/>
      <c r="F206" s="611"/>
    </row>
    <row r="207" spans="2:6" ht="12.75">
      <c r="B207" s="75"/>
      <c r="F207" s="611"/>
    </row>
    <row r="208" spans="2:6" ht="12.75">
      <c r="B208" s="75"/>
      <c r="F208" s="611"/>
    </row>
    <row r="209" spans="2:6" ht="12.75">
      <c r="B209" s="75"/>
      <c r="F209" s="611"/>
    </row>
    <row r="210" spans="2:6" ht="12.75">
      <c r="B210" s="75"/>
      <c r="F210" s="611"/>
    </row>
    <row r="211" spans="2:6" ht="12.75">
      <c r="B211" s="75"/>
      <c r="F211" s="611"/>
    </row>
    <row r="212" spans="2:6" ht="12.75">
      <c r="B212" s="75"/>
      <c r="F212" s="611"/>
    </row>
    <row r="213" spans="2:6" ht="12.75">
      <c r="B213" s="75"/>
      <c r="F213" s="611"/>
    </row>
    <row r="214" spans="2:6" ht="12.75">
      <c r="B214" s="75"/>
      <c r="F214" s="611"/>
    </row>
    <row r="215" spans="2:6" ht="12.75">
      <c r="B215" s="75"/>
      <c r="F215" s="611"/>
    </row>
    <row r="216" spans="2:6" ht="12.75">
      <c r="B216" s="75"/>
      <c r="F216" s="611"/>
    </row>
    <row r="217" spans="2:6" ht="12.75">
      <c r="B217" s="75"/>
      <c r="F217" s="611"/>
    </row>
    <row r="218" spans="2:6" ht="12.75">
      <c r="B218" s="75"/>
      <c r="F218" s="611"/>
    </row>
    <row r="219" spans="2:6" ht="12.75">
      <c r="B219" s="75"/>
      <c r="F219" s="611"/>
    </row>
    <row r="220" spans="2:6" ht="12.75">
      <c r="B220" s="75"/>
      <c r="F220" s="611"/>
    </row>
    <row r="221" spans="2:6" ht="12.75">
      <c r="B221" s="75"/>
      <c r="F221" s="611"/>
    </row>
    <row r="222" spans="2:6" ht="12.75">
      <c r="B222" s="75"/>
      <c r="F222" s="611"/>
    </row>
    <row r="223" spans="2:6" ht="12.75">
      <c r="B223" s="75"/>
      <c r="F223" s="611"/>
    </row>
    <row r="224" spans="2:6" ht="12.75">
      <c r="B224" s="75"/>
      <c r="F224" s="611"/>
    </row>
    <row r="225" spans="2:6" ht="12.75">
      <c r="B225" s="75"/>
      <c r="F225" s="611"/>
    </row>
    <row r="226" spans="2:6" ht="12.75">
      <c r="B226" s="75"/>
      <c r="F226" s="611"/>
    </row>
    <row r="227" spans="2:6" ht="12.75">
      <c r="B227" s="75"/>
      <c r="F227" s="611"/>
    </row>
    <row r="228" spans="2:6" ht="12.75">
      <c r="B228" s="75"/>
      <c r="F228" s="611"/>
    </row>
    <row r="229" spans="2:6" ht="12.75">
      <c r="B229" s="75"/>
      <c r="F229" s="611"/>
    </row>
    <row r="230" spans="2:6" ht="12.75">
      <c r="B230" s="75"/>
      <c r="F230" s="611"/>
    </row>
    <row r="231" spans="2:6" ht="12.75">
      <c r="B231" s="75"/>
      <c r="F231" s="611"/>
    </row>
    <row r="232" spans="2:6" ht="12.75">
      <c r="B232" s="75"/>
      <c r="F232" s="611"/>
    </row>
    <row r="233" spans="2:6" ht="12.75">
      <c r="B233" s="75"/>
      <c r="F233" s="611"/>
    </row>
    <row r="234" spans="2:6" ht="12.75">
      <c r="B234" s="75"/>
      <c r="F234" s="611"/>
    </row>
    <row r="235" spans="2:6" ht="12.75">
      <c r="B235" s="75"/>
      <c r="F235" s="611"/>
    </row>
    <row r="236" spans="2:6" ht="12.75">
      <c r="B236" s="75"/>
      <c r="F236" s="611"/>
    </row>
    <row r="237" spans="2:6" ht="12.75">
      <c r="B237" s="75"/>
      <c r="F237" s="611"/>
    </row>
    <row r="238" spans="2:6" ht="12.75">
      <c r="B238" s="75"/>
      <c r="F238" s="611"/>
    </row>
    <row r="239" spans="2:6" ht="12.75">
      <c r="B239" s="75"/>
      <c r="F239" s="611"/>
    </row>
    <row r="240" spans="2:6" ht="12.75">
      <c r="B240" s="75"/>
      <c r="F240" s="611"/>
    </row>
    <row r="241" spans="2:6" ht="12.75">
      <c r="B241" s="75"/>
      <c r="F241" s="611"/>
    </row>
    <row r="242" spans="2:6" ht="12.75">
      <c r="B242" s="75"/>
      <c r="F242" s="611"/>
    </row>
    <row r="243" spans="2:6" ht="12.75">
      <c r="B243" s="75"/>
      <c r="F243" s="611"/>
    </row>
    <row r="244" spans="2:6" ht="12.75">
      <c r="B244" s="75"/>
      <c r="F244" s="611"/>
    </row>
    <row r="245" spans="2:6" ht="12.75">
      <c r="B245" s="75"/>
      <c r="F245" s="611"/>
    </row>
    <row r="246" spans="2:6" ht="12.75">
      <c r="B246" s="75"/>
      <c r="F246" s="611"/>
    </row>
    <row r="247" spans="2:6" ht="12.75">
      <c r="B247" s="75"/>
      <c r="F247" s="611"/>
    </row>
    <row r="248" spans="2:6" ht="12.75">
      <c r="B248" s="75"/>
      <c r="F248" s="611"/>
    </row>
    <row r="249" spans="2:6" ht="12.75">
      <c r="B249" s="75"/>
      <c r="F249" s="611"/>
    </row>
    <row r="250" spans="2:6" ht="12.75">
      <c r="B250" s="75"/>
      <c r="F250" s="611"/>
    </row>
    <row r="251" spans="2:6" ht="12.75">
      <c r="B251" s="75"/>
      <c r="F251" s="611"/>
    </row>
    <row r="252" spans="2:6" ht="12.75">
      <c r="B252" s="75"/>
      <c r="F252" s="611"/>
    </row>
    <row r="253" spans="2:6" ht="12.75">
      <c r="B253" s="75"/>
      <c r="F253" s="611"/>
    </row>
    <row r="254" spans="2:6" ht="12.75">
      <c r="B254" s="75"/>
      <c r="F254" s="611"/>
    </row>
    <row r="255" spans="2:6" ht="12.75">
      <c r="B255" s="75"/>
      <c r="F255" s="611"/>
    </row>
    <row r="256" spans="2:6" ht="12.75">
      <c r="B256" s="75"/>
      <c r="F256" s="611"/>
    </row>
    <row r="257" spans="2:6" ht="12.75">
      <c r="B257" s="75"/>
      <c r="F257" s="611"/>
    </row>
    <row r="258" spans="2:6" ht="12.75">
      <c r="B258" s="75"/>
      <c r="F258" s="611"/>
    </row>
    <row r="259" spans="2:6" ht="12.75">
      <c r="B259" s="75"/>
      <c r="F259" s="611"/>
    </row>
    <row r="260" spans="2:6" ht="12.75">
      <c r="B260" s="75"/>
      <c r="F260" s="611"/>
    </row>
    <row r="261" spans="2:6" ht="12.75">
      <c r="B261" s="75"/>
      <c r="F261" s="611"/>
    </row>
    <row r="262" spans="2:6" ht="12.75">
      <c r="B262" s="75"/>
      <c r="F262" s="611"/>
    </row>
    <row r="263" spans="2:6" ht="12.75">
      <c r="B263" s="75"/>
      <c r="F263" s="611"/>
    </row>
    <row r="264" spans="2:6" ht="12.75">
      <c r="B264" s="75"/>
      <c r="F264" s="611"/>
    </row>
    <row r="265" spans="2:6" ht="12.75">
      <c r="B265" s="75"/>
      <c r="F265" s="611"/>
    </row>
    <row r="266" spans="2:6" ht="12.75">
      <c r="B266" s="75"/>
      <c r="F266" s="611"/>
    </row>
    <row r="267" spans="2:6" ht="12.75">
      <c r="B267" s="75"/>
      <c r="F267" s="611"/>
    </row>
    <row r="268" spans="2:6" ht="12.75">
      <c r="B268" s="75"/>
      <c r="F268" s="611"/>
    </row>
    <row r="269" spans="2:6" ht="12.75">
      <c r="B269" s="75"/>
      <c r="F269" s="611"/>
    </row>
    <row r="270" spans="2:6" ht="12.75">
      <c r="B270" s="75"/>
      <c r="F270" s="611"/>
    </row>
    <row r="271" spans="2:6" ht="12.75">
      <c r="B271" s="75"/>
      <c r="F271" s="611"/>
    </row>
    <row r="272" spans="2:6" ht="12.75">
      <c r="B272" s="75"/>
      <c r="F272" s="611"/>
    </row>
    <row r="273" spans="2:6" ht="12.75">
      <c r="B273" s="75"/>
      <c r="F273" s="611"/>
    </row>
    <row r="274" spans="2:6" ht="12.75">
      <c r="B274" s="75"/>
      <c r="F274" s="611"/>
    </row>
    <row r="275" spans="2:6" ht="12.75">
      <c r="B275" s="75"/>
      <c r="F275" s="611"/>
    </row>
    <row r="276" spans="2:6" ht="12.75">
      <c r="B276" s="75"/>
      <c r="F276" s="611"/>
    </row>
    <row r="277" spans="2:6" ht="12.75">
      <c r="B277" s="75"/>
      <c r="F277" s="611"/>
    </row>
    <row r="278" spans="2:6" ht="12.75">
      <c r="B278" s="75"/>
      <c r="F278" s="611"/>
    </row>
    <row r="279" spans="2:6" ht="12.75">
      <c r="B279" s="75"/>
      <c r="F279" s="611"/>
    </row>
    <row r="280" spans="2:6" ht="12.75">
      <c r="B280" s="75"/>
      <c r="F280" s="611"/>
    </row>
    <row r="281" spans="2:6" ht="12.75">
      <c r="B281" s="75"/>
      <c r="F281" s="611"/>
    </row>
    <row r="282" spans="2:6" ht="12.75">
      <c r="B282" s="75"/>
      <c r="F282" s="611"/>
    </row>
    <row r="283" spans="2:6" ht="12.75">
      <c r="B283" s="75"/>
      <c r="F283" s="611"/>
    </row>
    <row r="284" spans="2:6" ht="12.75">
      <c r="B284" s="75"/>
      <c r="F284" s="611"/>
    </row>
    <row r="285" spans="2:6" ht="12.75">
      <c r="B285" s="75"/>
      <c r="F285" s="611"/>
    </row>
    <row r="286" spans="2:6" ht="12.75">
      <c r="B286" s="75"/>
      <c r="F286" s="611"/>
    </row>
    <row r="287" spans="2:6" ht="12.75">
      <c r="B287" s="75"/>
      <c r="F287" s="611"/>
    </row>
    <row r="288" spans="2:6" ht="12.75">
      <c r="B288" s="75"/>
      <c r="F288" s="611"/>
    </row>
    <row r="289" spans="2:6" ht="12.75">
      <c r="B289" s="75"/>
      <c r="F289" s="611"/>
    </row>
    <row r="290" spans="2:6" ht="12.75">
      <c r="B290" s="75"/>
      <c r="F290" s="611"/>
    </row>
    <row r="291" spans="2:6" ht="12.75">
      <c r="B291" s="75"/>
      <c r="F291" s="611"/>
    </row>
    <row r="292" spans="2:6" ht="12.75">
      <c r="B292" s="75"/>
      <c r="F292" s="611"/>
    </row>
    <row r="293" spans="2:6" ht="12.75">
      <c r="B293" s="75"/>
      <c r="F293" s="611"/>
    </row>
    <row r="294" spans="2:6" ht="12.75">
      <c r="B294" s="75"/>
      <c r="F294" s="611"/>
    </row>
    <row r="295" spans="2:6" ht="12.75">
      <c r="B295" s="75"/>
      <c r="F295" s="611"/>
    </row>
    <row r="296" spans="2:6" ht="12.75">
      <c r="B296" s="75"/>
      <c r="F296" s="611"/>
    </row>
    <row r="297" spans="2:6" ht="12.75">
      <c r="B297" s="75"/>
      <c r="F297" s="611"/>
    </row>
    <row r="298" spans="2:6" ht="12.75">
      <c r="B298" s="75"/>
      <c r="F298" s="611"/>
    </row>
    <row r="299" spans="2:6" ht="12.75">
      <c r="B299" s="75"/>
      <c r="F299" s="611"/>
    </row>
    <row r="300" spans="2:6" ht="12.75">
      <c r="B300" s="75"/>
      <c r="F300" s="611"/>
    </row>
    <row r="301" spans="2:6" ht="12.75">
      <c r="B301" s="75"/>
      <c r="F301" s="611"/>
    </row>
    <row r="302" spans="2:6" ht="12.75">
      <c r="B302" s="75"/>
      <c r="F302" s="611"/>
    </row>
    <row r="303" spans="2:6" ht="12.75">
      <c r="B303" s="75"/>
      <c r="F303" s="611"/>
    </row>
    <row r="304" spans="2:6" ht="12.75">
      <c r="B304" s="75"/>
      <c r="F304" s="611"/>
    </row>
    <row r="305" spans="2:6" ht="12.75">
      <c r="B305" s="75"/>
      <c r="F305" s="611"/>
    </row>
    <row r="306" spans="2:6" ht="12.75">
      <c r="B306" s="75"/>
      <c r="F306" s="611"/>
    </row>
    <row r="307" spans="2:6" ht="12.75">
      <c r="B307" s="75"/>
      <c r="F307" s="611"/>
    </row>
    <row r="308" spans="2:6" ht="12.75">
      <c r="B308" s="75"/>
      <c r="F308" s="611"/>
    </row>
    <row r="309" spans="2:6" ht="12.75">
      <c r="B309" s="75"/>
      <c r="F309" s="611"/>
    </row>
    <row r="310" spans="2:6" ht="12.75">
      <c r="B310" s="75"/>
      <c r="F310" s="611"/>
    </row>
    <row r="311" spans="2:6" ht="12.75">
      <c r="B311" s="75"/>
      <c r="F311" s="611"/>
    </row>
    <row r="312" spans="2:6" ht="12.75">
      <c r="B312" s="75"/>
      <c r="F312" s="611"/>
    </row>
    <row r="313" spans="2:6" ht="12.75">
      <c r="B313" s="75"/>
      <c r="F313" s="611"/>
    </row>
    <row r="314" spans="2:6" ht="12.75">
      <c r="B314" s="75"/>
      <c r="F314" s="611"/>
    </row>
    <row r="315" spans="2:6" ht="12.75">
      <c r="B315" s="75"/>
      <c r="F315" s="611"/>
    </row>
    <row r="316" spans="2:6" ht="12.75">
      <c r="B316" s="75"/>
      <c r="F316" s="611"/>
    </row>
    <row r="317" spans="2:6" ht="12.75">
      <c r="B317" s="75"/>
      <c r="F317" s="611"/>
    </row>
    <row r="318" spans="2:6" ht="12.75">
      <c r="B318" s="75"/>
      <c r="F318" s="611"/>
    </row>
    <row r="319" spans="2:6" ht="12.75">
      <c r="B319" s="75"/>
      <c r="F319" s="611"/>
    </row>
    <row r="320" spans="2:6" ht="12.75">
      <c r="B320" s="75"/>
      <c r="F320" s="611"/>
    </row>
    <row r="321" spans="2:6" ht="12.75">
      <c r="B321" s="75"/>
      <c r="F321" s="611"/>
    </row>
    <row r="322" spans="2:6" ht="12.75">
      <c r="B322" s="75"/>
      <c r="F322" s="611"/>
    </row>
    <row r="323" spans="2:6" ht="12.75">
      <c r="B323" s="75"/>
      <c r="F323" s="611"/>
    </row>
    <row r="324" spans="2:6" ht="12.75">
      <c r="B324" s="75"/>
      <c r="F324" s="611"/>
    </row>
    <row r="325" spans="2:6" ht="12.75">
      <c r="B325" s="75"/>
      <c r="F325" s="611"/>
    </row>
    <row r="326" spans="2:6" ht="12.75">
      <c r="B326" s="75"/>
      <c r="F326" s="611"/>
    </row>
    <row r="327" spans="2:6" ht="12.75">
      <c r="B327" s="75"/>
      <c r="F327" s="611"/>
    </row>
    <row r="328" spans="2:6" ht="12.75">
      <c r="B328" s="75"/>
      <c r="F328" s="611"/>
    </row>
    <row r="329" spans="2:6" ht="12.75">
      <c r="B329" s="75"/>
      <c r="F329" s="611"/>
    </row>
    <row r="330" spans="2:6" ht="12.75">
      <c r="B330" s="75"/>
      <c r="F330" s="611"/>
    </row>
    <row r="331" spans="2:6" ht="12.75">
      <c r="B331" s="75"/>
      <c r="F331" s="611"/>
    </row>
    <row r="332" spans="2:6" ht="12.75">
      <c r="B332" s="75"/>
      <c r="F332" s="611"/>
    </row>
    <row r="333" spans="2:6" ht="12.75">
      <c r="B333" s="75"/>
      <c r="F333" s="611"/>
    </row>
    <row r="334" spans="2:6" ht="12.75">
      <c r="B334" s="75"/>
      <c r="F334" s="611"/>
    </row>
    <row r="335" spans="2:6" ht="12.75">
      <c r="B335" s="75"/>
      <c r="F335" s="611"/>
    </row>
    <row r="336" spans="2:6" ht="12.75">
      <c r="B336" s="75"/>
      <c r="F336" s="611"/>
    </row>
    <row r="337" spans="2:6" ht="12.75">
      <c r="B337" s="75"/>
      <c r="F337" s="611"/>
    </row>
    <row r="338" spans="2:6" ht="12.75">
      <c r="B338" s="75"/>
      <c r="F338" s="611"/>
    </row>
    <row r="339" spans="2:6" ht="12.75">
      <c r="B339" s="75"/>
      <c r="F339" s="611"/>
    </row>
    <row r="340" spans="2:6" ht="12.75">
      <c r="B340" s="75"/>
      <c r="F340" s="611"/>
    </row>
    <row r="341" spans="2:6" ht="12.75">
      <c r="B341" s="75"/>
      <c r="F341" s="611"/>
    </row>
    <row r="342" spans="2:6" ht="12.75">
      <c r="B342" s="75"/>
      <c r="F342" s="611"/>
    </row>
    <row r="343" spans="2:6" ht="12.75">
      <c r="B343" s="75"/>
      <c r="F343" s="611"/>
    </row>
    <row r="344" spans="2:6" ht="12.75">
      <c r="B344" s="75"/>
      <c r="F344" s="611"/>
    </row>
    <row r="345" spans="2:6" ht="12.75">
      <c r="B345" s="75"/>
      <c r="F345" s="611"/>
    </row>
    <row r="346" spans="2:6" ht="12.75">
      <c r="B346" s="75"/>
      <c r="F346" s="611"/>
    </row>
    <row r="347" spans="2:6" ht="12.75">
      <c r="B347" s="75"/>
      <c r="F347" s="611"/>
    </row>
    <row r="348" spans="2:6" ht="12.75">
      <c r="B348" s="75"/>
      <c r="F348" s="611"/>
    </row>
    <row r="349" spans="2:6" ht="12.75">
      <c r="B349" s="75"/>
      <c r="F349" s="611"/>
    </row>
    <row r="350" spans="2:6" ht="12.75">
      <c r="B350" s="75"/>
      <c r="F350" s="611"/>
    </row>
    <row r="351" spans="2:6" ht="12.75">
      <c r="B351" s="75"/>
      <c r="F351" s="611"/>
    </row>
    <row r="352" spans="2:6" ht="12.75">
      <c r="B352" s="75"/>
      <c r="F352" s="611"/>
    </row>
    <row r="353" spans="2:6" ht="12.75">
      <c r="B353" s="75"/>
      <c r="F353" s="611"/>
    </row>
    <row r="354" spans="2:6" ht="12.75">
      <c r="B354" s="75"/>
      <c r="F354" s="611"/>
    </row>
    <row r="355" spans="2:6" ht="12.75">
      <c r="B355" s="75"/>
      <c r="F355" s="611"/>
    </row>
    <row r="356" spans="2:6" ht="12.75">
      <c r="B356" s="75"/>
      <c r="F356" s="611"/>
    </row>
    <row r="357" spans="2:6" ht="12.75">
      <c r="B357" s="75"/>
      <c r="F357" s="611"/>
    </row>
    <row r="358" spans="2:6" ht="12.75">
      <c r="B358" s="75"/>
      <c r="F358" s="611"/>
    </row>
    <row r="359" spans="2:6" ht="12.75">
      <c r="B359" s="75"/>
      <c r="F359" s="611"/>
    </row>
    <row r="360" spans="2:6" ht="12.75">
      <c r="B360" s="75"/>
      <c r="F360" s="611"/>
    </row>
    <row r="361" spans="2:6" ht="12.75">
      <c r="B361" s="75"/>
      <c r="F361" s="611"/>
    </row>
    <row r="362" spans="2:6" ht="12.75">
      <c r="B362" s="75"/>
      <c r="F362" s="611"/>
    </row>
    <row r="363" spans="2:6" ht="12.75">
      <c r="B363" s="75"/>
      <c r="F363" s="611"/>
    </row>
    <row r="364" spans="2:6" ht="12.75">
      <c r="B364" s="75"/>
      <c r="F364" s="611"/>
    </row>
    <row r="365" spans="2:6" ht="12.75">
      <c r="B365" s="75"/>
      <c r="F365" s="611"/>
    </row>
    <row r="366" spans="2:6" ht="12.75">
      <c r="B366" s="75"/>
      <c r="F366" s="611"/>
    </row>
    <row r="367" spans="2:6" ht="12.75">
      <c r="B367" s="75"/>
      <c r="F367" s="611"/>
    </row>
    <row r="368" spans="2:6" ht="12.75">
      <c r="B368" s="75"/>
      <c r="F368" s="611"/>
    </row>
    <row r="369" spans="2:6" ht="12.75">
      <c r="B369" s="75"/>
      <c r="F369" s="611"/>
    </row>
    <row r="370" spans="2:6" ht="12.75">
      <c r="B370" s="75"/>
      <c r="F370" s="611"/>
    </row>
    <row r="371" spans="2:6" ht="12.75">
      <c r="B371" s="75"/>
      <c r="F371" s="611"/>
    </row>
    <row r="372" spans="2:6" ht="12.75">
      <c r="B372" s="75"/>
      <c r="F372" s="611"/>
    </row>
    <row r="373" spans="2:6" ht="12.75">
      <c r="B373" s="75"/>
      <c r="F373" s="611"/>
    </row>
    <row r="374" spans="2:6" ht="12.75">
      <c r="B374" s="75"/>
      <c r="F374" s="611"/>
    </row>
    <row r="375" spans="2:6" ht="12.75">
      <c r="B375" s="75"/>
      <c r="F375" s="611"/>
    </row>
    <row r="376" spans="2:6" ht="12.75">
      <c r="B376" s="75"/>
      <c r="F376" s="611"/>
    </row>
    <row r="377" spans="2:6" ht="12.75">
      <c r="B377" s="75"/>
      <c r="F377" s="611"/>
    </row>
    <row r="378" spans="2:6" ht="12.75">
      <c r="B378" s="75"/>
      <c r="F378" s="611"/>
    </row>
    <row r="379" spans="2:6" ht="12.75">
      <c r="B379" s="75"/>
      <c r="F379" s="611"/>
    </row>
    <row r="380" spans="2:6" ht="12.75">
      <c r="B380" s="75"/>
      <c r="F380" s="611"/>
    </row>
    <row r="381" spans="2:6" ht="12.75">
      <c r="B381" s="75"/>
      <c r="F381" s="611"/>
    </row>
    <row r="382" spans="2:6" ht="12.75">
      <c r="B382" s="75"/>
      <c r="F382" s="611"/>
    </row>
    <row r="383" spans="2:6" ht="12.75">
      <c r="B383" s="75"/>
      <c r="F383" s="611"/>
    </row>
    <row r="384" spans="2:6" ht="12.75">
      <c r="B384" s="75"/>
      <c r="F384" s="611"/>
    </row>
    <row r="385" spans="2:6" ht="12.75">
      <c r="B385" s="75"/>
      <c r="F385" s="611"/>
    </row>
    <row r="386" spans="2:6" ht="12.75">
      <c r="B386" s="75"/>
      <c r="F386" s="611"/>
    </row>
    <row r="387" spans="2:6" ht="12.75">
      <c r="B387" s="75"/>
      <c r="F387" s="611"/>
    </row>
    <row r="388" spans="2:6" ht="12.75">
      <c r="B388" s="75"/>
      <c r="F388" s="611"/>
    </row>
    <row r="389" spans="2:6" ht="12.75">
      <c r="B389" s="75"/>
      <c r="F389" s="611"/>
    </row>
    <row r="390" spans="2:6" ht="12.75">
      <c r="B390" s="75"/>
      <c r="F390" s="611"/>
    </row>
    <row r="391" spans="2:6" ht="12.75">
      <c r="B391" s="75"/>
      <c r="F391" s="611"/>
    </row>
    <row r="392" spans="2:6" ht="12.75">
      <c r="B392" s="75"/>
      <c r="F392" s="611"/>
    </row>
    <row r="393" spans="2:6" ht="12.75">
      <c r="B393" s="75"/>
      <c r="F393" s="611"/>
    </row>
    <row r="394" spans="2:6" ht="12.75">
      <c r="B394" s="75"/>
      <c r="F394" s="611"/>
    </row>
    <row r="395" spans="2:6" ht="12.75">
      <c r="B395" s="75"/>
      <c r="F395" s="611"/>
    </row>
    <row r="396" spans="2:6" ht="12.75">
      <c r="B396" s="75"/>
      <c r="F396" s="611"/>
    </row>
    <row r="397" spans="2:6" ht="12.75">
      <c r="B397" s="75"/>
      <c r="F397" s="611"/>
    </row>
    <row r="398" spans="2:6" ht="12.75">
      <c r="B398" s="75"/>
      <c r="F398" s="611"/>
    </row>
    <row r="399" spans="2:6" ht="12.75">
      <c r="B399" s="75"/>
      <c r="F399" s="611"/>
    </row>
    <row r="400" spans="2:6" ht="12.75">
      <c r="B400" s="75"/>
      <c r="F400" s="611"/>
    </row>
    <row r="401" spans="2:6" ht="12.75">
      <c r="B401" s="75"/>
      <c r="F401" s="611"/>
    </row>
    <row r="402" spans="2:6" ht="12.75">
      <c r="B402" s="75"/>
      <c r="F402" s="611"/>
    </row>
    <row r="403" spans="2:6" ht="12.75">
      <c r="B403" s="75"/>
      <c r="F403" s="611"/>
    </row>
    <row r="404" spans="2:6" ht="12.75">
      <c r="B404" s="75"/>
      <c r="F404" s="611"/>
    </row>
    <row r="405" spans="2:6" ht="12.75">
      <c r="B405" s="75"/>
      <c r="F405" s="611"/>
    </row>
    <row r="406" spans="2:6" ht="12.75">
      <c r="B406" s="75"/>
      <c r="F406" s="611"/>
    </row>
    <row r="407" spans="2:6" ht="12.75">
      <c r="B407" s="75"/>
      <c r="F407" s="611"/>
    </row>
    <row r="408" spans="2:6" ht="12.75">
      <c r="B408" s="75"/>
      <c r="F408" s="611"/>
    </row>
    <row r="409" spans="2:6" ht="12.75">
      <c r="B409" s="75"/>
      <c r="F409" s="611"/>
    </row>
    <row r="410" spans="2:6" ht="12.75">
      <c r="B410" s="75"/>
      <c r="F410" s="611"/>
    </row>
    <row r="411" spans="2:6" ht="12.75">
      <c r="B411" s="75"/>
      <c r="F411" s="611"/>
    </row>
    <row r="412" spans="2:6" ht="12.75">
      <c r="B412" s="75"/>
      <c r="F412" s="611"/>
    </row>
    <row r="413" spans="2:6" ht="12.75">
      <c r="B413" s="75"/>
      <c r="F413" s="611"/>
    </row>
    <row r="414" spans="2:6" ht="12.75">
      <c r="B414" s="75"/>
      <c r="F414" s="611"/>
    </row>
    <row r="415" spans="2:6" ht="12.75">
      <c r="B415" s="75"/>
      <c r="F415" s="611"/>
    </row>
    <row r="416" spans="2:6" ht="12.75">
      <c r="B416" s="75"/>
      <c r="F416" s="611"/>
    </row>
    <row r="417" spans="2:6" ht="12.75">
      <c r="B417" s="75"/>
      <c r="F417" s="611"/>
    </row>
    <row r="418" spans="2:6" ht="12.75">
      <c r="B418" s="75"/>
      <c r="F418" s="611"/>
    </row>
    <row r="419" spans="2:6" ht="12.75">
      <c r="B419" s="75"/>
      <c r="F419" s="611"/>
    </row>
    <row r="420" spans="2:6" ht="12.75">
      <c r="B420" s="75"/>
      <c r="F420" s="611"/>
    </row>
    <row r="421" spans="2:6" ht="12.75">
      <c r="B421" s="75"/>
      <c r="F421" s="611"/>
    </row>
    <row r="422" spans="2:6" ht="12.75">
      <c r="B422" s="75"/>
      <c r="F422" s="611"/>
    </row>
    <row r="423" spans="2:6" ht="12.75">
      <c r="B423" s="75"/>
      <c r="F423" s="611"/>
    </row>
    <row r="424" spans="2:6" ht="12.75">
      <c r="B424" s="75"/>
      <c r="F424" s="611"/>
    </row>
    <row r="425" spans="2:6" ht="12.75">
      <c r="B425" s="75"/>
      <c r="F425" s="611"/>
    </row>
    <row r="426" spans="2:6" ht="12.75">
      <c r="B426" s="75"/>
      <c r="F426" s="611"/>
    </row>
    <row r="427" spans="2:6" ht="12.75">
      <c r="B427" s="75"/>
      <c r="F427" s="611"/>
    </row>
    <row r="428" spans="2:6" ht="12.75">
      <c r="B428" s="75"/>
      <c r="F428" s="611"/>
    </row>
    <row r="429" spans="2:6" ht="12.75">
      <c r="B429" s="75"/>
      <c r="F429" s="611"/>
    </row>
    <row r="430" spans="2:6" ht="12.75">
      <c r="B430" s="75"/>
      <c r="F430" s="611"/>
    </row>
    <row r="431" spans="2:6" ht="12.75">
      <c r="B431" s="75"/>
      <c r="F431" s="611"/>
    </row>
    <row r="432" spans="2:6" ht="12.75">
      <c r="B432" s="75"/>
      <c r="F432" s="611"/>
    </row>
    <row r="433" spans="2:6" ht="12.75">
      <c r="B433" s="75"/>
      <c r="F433" s="611"/>
    </row>
    <row r="434" spans="2:6" ht="12.75">
      <c r="B434" s="75"/>
      <c r="F434" s="611"/>
    </row>
    <row r="435" spans="2:6" ht="12.75">
      <c r="B435" s="75"/>
      <c r="F435" s="611"/>
    </row>
    <row r="436" spans="2:6" ht="12.75">
      <c r="B436" s="75"/>
      <c r="F436" s="611"/>
    </row>
    <row r="437" spans="2:6" ht="12.75">
      <c r="B437" s="75"/>
      <c r="F437" s="611"/>
    </row>
    <row r="438" spans="2:6" ht="12.75">
      <c r="B438" s="75"/>
      <c r="F438" s="611"/>
    </row>
    <row r="439" spans="2:6" ht="12.75">
      <c r="B439" s="75"/>
      <c r="F439" s="611"/>
    </row>
    <row r="440" spans="2:6" ht="12.75">
      <c r="B440" s="75"/>
      <c r="F440" s="611"/>
    </row>
    <row r="441" spans="2:6" ht="12.75">
      <c r="B441" s="75"/>
      <c r="F441" s="611"/>
    </row>
    <row r="442" spans="2:6" ht="12.75">
      <c r="B442" s="75"/>
      <c r="F442" s="611"/>
    </row>
    <row r="443" spans="2:6" ht="12.75">
      <c r="B443" s="75"/>
      <c r="F443" s="611"/>
    </row>
    <row r="444" spans="2:6" ht="12.75">
      <c r="B444" s="75"/>
      <c r="F444" s="611"/>
    </row>
    <row r="445" spans="2:6" ht="12.75">
      <c r="B445" s="75"/>
      <c r="F445" s="611"/>
    </row>
    <row r="446" spans="2:6" ht="12.75">
      <c r="B446" s="75"/>
      <c r="F446" s="611"/>
    </row>
    <row r="447" spans="2:6" ht="12.75">
      <c r="B447" s="75"/>
      <c r="F447" s="611"/>
    </row>
    <row r="448" spans="2:6" ht="12.75">
      <c r="B448" s="75"/>
      <c r="F448" s="611"/>
    </row>
    <row r="449" spans="2:6" ht="12.75">
      <c r="B449" s="75"/>
      <c r="F449" s="611"/>
    </row>
    <row r="450" spans="2:6" ht="12.75">
      <c r="B450" s="75"/>
      <c r="F450" s="611"/>
    </row>
    <row r="451" spans="2:6" ht="12.75">
      <c r="B451" s="75"/>
      <c r="F451" s="611"/>
    </row>
    <row r="452" spans="2:6" ht="12.75">
      <c r="B452" s="75"/>
      <c r="F452" s="611"/>
    </row>
    <row r="453" spans="2:6" ht="12.75">
      <c r="B453" s="75"/>
      <c r="F453" s="611"/>
    </row>
    <row r="454" spans="2:6" ht="12.75">
      <c r="B454" s="75"/>
      <c r="F454" s="611"/>
    </row>
    <row r="455" spans="2:6" ht="12.75">
      <c r="B455" s="75"/>
      <c r="F455" s="611"/>
    </row>
    <row r="456" spans="2:6" ht="12.75">
      <c r="B456" s="75"/>
      <c r="F456" s="611"/>
    </row>
    <row r="457" spans="2:6" ht="12.75">
      <c r="B457" s="75"/>
      <c r="F457" s="611"/>
    </row>
    <row r="458" spans="2:6" ht="12.75">
      <c r="B458" s="75"/>
      <c r="F458" s="611"/>
    </row>
    <row r="459" spans="2:6" ht="12.75">
      <c r="B459" s="75"/>
      <c r="F459" s="611"/>
    </row>
    <row r="460" spans="2:6" ht="12.75">
      <c r="B460" s="75"/>
      <c r="F460" s="611"/>
    </row>
    <row r="461" spans="2:6" ht="12.75">
      <c r="B461" s="75"/>
      <c r="F461" s="611"/>
    </row>
    <row r="462" spans="2:6" ht="12.75">
      <c r="B462" s="75"/>
      <c r="F462" s="611"/>
    </row>
    <row r="463" spans="2:6" ht="12.75">
      <c r="B463" s="75"/>
      <c r="F463" s="611"/>
    </row>
    <row r="464" spans="2:6" ht="12.75">
      <c r="B464" s="75"/>
      <c r="F464" s="611"/>
    </row>
    <row r="465" spans="2:6" ht="12.75">
      <c r="B465" s="75"/>
      <c r="F465" s="611"/>
    </row>
    <row r="466" spans="2:6" ht="12.75">
      <c r="B466" s="75"/>
      <c r="F466" s="611"/>
    </row>
    <row r="467" spans="2:6" ht="12.75">
      <c r="B467" s="75"/>
      <c r="F467" s="611"/>
    </row>
    <row r="468" spans="2:6" ht="12.75">
      <c r="B468" s="75"/>
      <c r="F468" s="611"/>
    </row>
    <row r="469" spans="2:6" ht="12.75">
      <c r="B469" s="75"/>
      <c r="F469" s="611"/>
    </row>
    <row r="470" spans="2:6" ht="12.75">
      <c r="B470" s="75"/>
      <c r="F470" s="611"/>
    </row>
    <row r="471" spans="2:6" ht="12.75">
      <c r="B471" s="75"/>
      <c r="F471" s="611"/>
    </row>
    <row r="472" spans="2:6" ht="12.75">
      <c r="B472" s="75"/>
      <c r="F472" s="611"/>
    </row>
    <row r="473" spans="2:6" ht="12.75">
      <c r="B473" s="75"/>
      <c r="F473" s="611"/>
    </row>
    <row r="474" spans="2:6" ht="12.75">
      <c r="B474" s="75"/>
      <c r="F474" s="611"/>
    </row>
    <row r="475" spans="2:6" ht="12.75">
      <c r="B475" s="75"/>
      <c r="F475" s="611"/>
    </row>
    <row r="476" spans="2:6" ht="12.75">
      <c r="B476" s="75"/>
      <c r="F476" s="611"/>
    </row>
    <row r="477" spans="2:6" ht="12.75">
      <c r="B477" s="75"/>
      <c r="F477" s="611"/>
    </row>
    <row r="478" spans="2:6" ht="12.75">
      <c r="B478" s="75"/>
      <c r="F478" s="611"/>
    </row>
    <row r="479" spans="2:6" ht="12.75">
      <c r="B479" s="75"/>
      <c r="F479" s="611"/>
    </row>
    <row r="480" spans="2:6" ht="12.75">
      <c r="B480" s="75"/>
      <c r="F480" s="611"/>
    </row>
    <row r="481" spans="2:6" ht="12.75">
      <c r="B481" s="75"/>
      <c r="F481" s="611"/>
    </row>
    <row r="482" spans="2:6" ht="12.75">
      <c r="B482" s="75"/>
      <c r="F482" s="611"/>
    </row>
    <row r="483" spans="2:6" ht="12.75">
      <c r="B483" s="75"/>
      <c r="F483" s="611"/>
    </row>
    <row r="484" spans="2:6" ht="12.75">
      <c r="B484" s="75"/>
      <c r="F484" s="611"/>
    </row>
    <row r="485" spans="2:6" ht="12.75">
      <c r="B485" s="75"/>
      <c r="F485" s="611"/>
    </row>
    <row r="486" spans="2:6" ht="12.75">
      <c r="B486" s="75"/>
      <c r="F486" s="611"/>
    </row>
    <row r="487" spans="2:6" ht="12.75">
      <c r="B487" s="75"/>
      <c r="F487" s="611"/>
    </row>
    <row r="488" spans="2:6" ht="12.75">
      <c r="B488" s="75"/>
      <c r="F488" s="611"/>
    </row>
    <row r="489" spans="2:6" ht="12.75">
      <c r="B489" s="75"/>
      <c r="F489" s="611"/>
    </row>
    <row r="490" spans="2:6" ht="12.75">
      <c r="B490" s="75"/>
      <c r="F490" s="611"/>
    </row>
    <row r="491" spans="2:6" ht="12.75">
      <c r="B491" s="75"/>
      <c r="F491" s="611"/>
    </row>
    <row r="492" spans="2:6" ht="12.75">
      <c r="B492" s="75"/>
      <c r="F492" s="611"/>
    </row>
    <row r="493" spans="2:6" ht="12.75">
      <c r="B493" s="75"/>
      <c r="F493" s="611"/>
    </row>
    <row r="494" spans="2:6" ht="12.75">
      <c r="B494" s="75"/>
      <c r="F494" s="611"/>
    </row>
    <row r="495" spans="2:6" ht="12.75">
      <c r="B495" s="75"/>
      <c r="F495" s="611"/>
    </row>
    <row r="496" spans="2:6" ht="12.75">
      <c r="B496" s="75"/>
      <c r="F496" s="611"/>
    </row>
    <row r="497" spans="2:6" ht="12.75">
      <c r="B497" s="75"/>
      <c r="F497" s="611"/>
    </row>
    <row r="498" spans="2:6" ht="12.75">
      <c r="B498" s="75"/>
      <c r="F498" s="611"/>
    </row>
    <row r="499" spans="2:6" ht="12.75">
      <c r="B499" s="75"/>
      <c r="F499" s="611"/>
    </row>
    <row r="500" spans="2:6" ht="12.75">
      <c r="B500" s="75"/>
      <c r="F500" s="611"/>
    </row>
    <row r="501" spans="2:6" ht="12.75">
      <c r="B501" s="75"/>
      <c r="F501" s="611"/>
    </row>
    <row r="502" spans="2:6" ht="12.75">
      <c r="B502" s="75"/>
      <c r="F502" s="611"/>
    </row>
    <row r="503" spans="2:6" ht="12.75">
      <c r="B503" s="75"/>
      <c r="F503" s="611"/>
    </row>
    <row r="504" spans="2:6" ht="12.75">
      <c r="B504" s="75"/>
      <c r="F504" s="611"/>
    </row>
    <row r="505" spans="2:6" ht="12.75">
      <c r="B505" s="75"/>
      <c r="F505" s="611"/>
    </row>
    <row r="506" spans="2:6" ht="12.75">
      <c r="B506" s="75"/>
      <c r="F506" s="611"/>
    </row>
    <row r="507" spans="2:6" ht="12.75">
      <c r="B507" s="75"/>
      <c r="F507" s="611"/>
    </row>
    <row r="508" spans="2:6" ht="12.75">
      <c r="B508" s="75"/>
      <c r="F508" s="611"/>
    </row>
    <row r="509" spans="2:6" ht="12.75">
      <c r="B509" s="75"/>
      <c r="F509" s="611"/>
    </row>
    <row r="510" spans="2:6" ht="12.75">
      <c r="B510" s="75"/>
      <c r="F510" s="611"/>
    </row>
    <row r="511" spans="2:6" ht="12.75">
      <c r="B511" s="75"/>
      <c r="F511" s="611"/>
    </row>
    <row r="512" spans="2:6" ht="12.75">
      <c r="B512" s="75"/>
      <c r="F512" s="611"/>
    </row>
    <row r="513" spans="2:6" ht="12.75">
      <c r="B513" s="75"/>
      <c r="F513" s="611"/>
    </row>
    <row r="514" spans="2:6" ht="12.75">
      <c r="B514" s="75"/>
      <c r="F514" s="611"/>
    </row>
    <row r="515" spans="2:6" ht="12.75">
      <c r="B515" s="75"/>
      <c r="F515" s="611"/>
    </row>
    <row r="516" spans="2:6" ht="12.75">
      <c r="B516" s="75"/>
      <c r="F516" s="611"/>
    </row>
    <row r="517" spans="2:6" ht="12.75">
      <c r="B517" s="75"/>
      <c r="F517" s="611"/>
    </row>
    <row r="518" spans="2:6" ht="12.75">
      <c r="B518" s="75"/>
      <c r="F518" s="611"/>
    </row>
    <row r="519" spans="2:6" ht="12.75">
      <c r="B519" s="75"/>
      <c r="F519" s="611"/>
    </row>
    <row r="520" spans="2:6" ht="12.75">
      <c r="B520" s="75"/>
      <c r="F520" s="611"/>
    </row>
    <row r="521" spans="2:6" ht="12.75">
      <c r="B521" s="75"/>
      <c r="F521" s="611"/>
    </row>
    <row r="522" spans="2:6" ht="12.75">
      <c r="B522" s="75"/>
      <c r="F522" s="611"/>
    </row>
    <row r="523" spans="2:6" ht="12.75">
      <c r="B523" s="75"/>
      <c r="F523" s="611"/>
    </row>
    <row r="524" spans="2:6" ht="12.75">
      <c r="B524" s="75"/>
      <c r="F524" s="611"/>
    </row>
    <row r="525" spans="2:6" ht="12.75">
      <c r="B525" s="75"/>
      <c r="F525" s="611"/>
    </row>
    <row r="526" spans="2:6" ht="12.75">
      <c r="B526" s="75"/>
      <c r="F526" s="611"/>
    </row>
    <row r="527" spans="2:6" ht="12.75">
      <c r="B527" s="75"/>
      <c r="F527" s="611"/>
    </row>
    <row r="528" spans="2:6" ht="12.75">
      <c r="B528" s="75"/>
      <c r="F528" s="611"/>
    </row>
    <row r="529" spans="2:6" ht="12.75">
      <c r="B529" s="75"/>
      <c r="F529" s="611"/>
    </row>
    <row r="530" spans="2:6" ht="12.75">
      <c r="B530" s="75"/>
      <c r="F530" s="611"/>
    </row>
    <row r="531" spans="2:6" ht="12.75">
      <c r="B531" s="75"/>
      <c r="F531" s="611"/>
    </row>
    <row r="532" spans="2:6" ht="12.75">
      <c r="B532" s="75"/>
      <c r="F532" s="611"/>
    </row>
    <row r="533" spans="2:6" ht="12.75">
      <c r="B533" s="75"/>
      <c r="F533" s="611"/>
    </row>
    <row r="534" spans="2:6" ht="12.75">
      <c r="B534" s="75"/>
      <c r="F534" s="611"/>
    </row>
    <row r="535" spans="2:6" ht="12.75">
      <c r="B535" s="75"/>
      <c r="F535" s="611"/>
    </row>
    <row r="536" spans="2:6" ht="12.75">
      <c r="B536" s="75"/>
      <c r="F536" s="611"/>
    </row>
    <row r="537" spans="2:6" ht="12.75">
      <c r="B537" s="75"/>
      <c r="F537" s="611"/>
    </row>
    <row r="538" spans="2:6" ht="12.75">
      <c r="B538" s="75"/>
      <c r="F538" s="611"/>
    </row>
    <row r="539" spans="2:6" ht="12.75">
      <c r="B539" s="75"/>
      <c r="F539" s="611"/>
    </row>
    <row r="540" spans="2:6" ht="12.75">
      <c r="B540" s="75"/>
      <c r="F540" s="611"/>
    </row>
    <row r="541" spans="2:6" ht="12.75">
      <c r="B541" s="75"/>
      <c r="F541" s="611"/>
    </row>
    <row r="542" spans="2:6" ht="12.75">
      <c r="B542" s="75"/>
      <c r="F542" s="611"/>
    </row>
    <row r="543" spans="2:6" ht="12.75">
      <c r="B543" s="75"/>
      <c r="F543" s="611"/>
    </row>
    <row r="544" spans="2:6" ht="12.75">
      <c r="B544" s="75"/>
      <c r="F544" s="611"/>
    </row>
    <row r="545" spans="2:6" ht="12.75">
      <c r="B545" s="75"/>
      <c r="F545" s="611"/>
    </row>
    <row r="546" spans="2:6" ht="12.75">
      <c r="B546" s="75"/>
      <c r="F546" s="611"/>
    </row>
    <row r="547" spans="2:6" ht="12.75">
      <c r="B547" s="75"/>
      <c r="F547" s="611"/>
    </row>
    <row r="548" spans="2:6" ht="12.75">
      <c r="B548" s="75"/>
      <c r="F548" s="611"/>
    </row>
    <row r="549" spans="2:6" ht="12.75">
      <c r="B549" s="75"/>
      <c r="F549" s="611"/>
    </row>
    <row r="550" spans="2:6" ht="12.75">
      <c r="B550" s="75"/>
      <c r="F550" s="611"/>
    </row>
    <row r="551" spans="2:6" ht="12.75">
      <c r="B551" s="75"/>
      <c r="F551" s="611"/>
    </row>
    <row r="552" spans="2:6" ht="12.75">
      <c r="B552" s="75"/>
      <c r="F552" s="611"/>
    </row>
    <row r="553" spans="2:6" ht="12.75">
      <c r="B553" s="75"/>
      <c r="F553" s="611"/>
    </row>
    <row r="554" spans="2:6" ht="12.75">
      <c r="B554" s="75"/>
      <c r="F554" s="611"/>
    </row>
    <row r="555" spans="2:6" ht="12.75">
      <c r="B555" s="75"/>
      <c r="F555" s="611"/>
    </row>
    <row r="556" spans="2:6" ht="12.75">
      <c r="B556" s="75"/>
      <c r="F556" s="611"/>
    </row>
    <row r="557" spans="2:6" ht="12.75">
      <c r="B557" s="75"/>
      <c r="F557" s="611"/>
    </row>
    <row r="558" spans="2:6" ht="12.75">
      <c r="B558" s="75"/>
      <c r="F558" s="611"/>
    </row>
    <row r="559" spans="2:6" ht="12.75">
      <c r="B559" s="75"/>
      <c r="F559" s="611"/>
    </row>
    <row r="560" spans="2:6" ht="12.75">
      <c r="B560" s="75"/>
      <c r="F560" s="611"/>
    </row>
    <row r="561" spans="2:6" ht="12.75">
      <c r="B561" s="75"/>
      <c r="F561" s="611"/>
    </row>
    <row r="562" spans="2:6" ht="12.75">
      <c r="B562" s="75"/>
      <c r="F562" s="611"/>
    </row>
    <row r="563" spans="2:6" ht="12.75">
      <c r="B563" s="75"/>
      <c r="F563" s="611"/>
    </row>
    <row r="564" spans="2:6" ht="12.75">
      <c r="B564" s="75"/>
      <c r="F564" s="611"/>
    </row>
    <row r="565" spans="2:6" ht="12.75">
      <c r="B565" s="75"/>
      <c r="F565" s="611"/>
    </row>
    <row r="566" spans="2:6" ht="12.75">
      <c r="B566" s="75"/>
      <c r="F566" s="611"/>
    </row>
    <row r="567" spans="2:6" ht="12.75">
      <c r="B567" s="75"/>
      <c r="F567" s="611"/>
    </row>
    <row r="568" spans="2:6" ht="12.75">
      <c r="B568" s="75"/>
      <c r="F568" s="611"/>
    </row>
    <row r="569" spans="2:6" ht="12.75">
      <c r="B569" s="75"/>
      <c r="F569" s="611"/>
    </row>
    <row r="570" spans="2:6" ht="12.75">
      <c r="B570" s="75"/>
      <c r="F570" s="611"/>
    </row>
    <row r="571" spans="2:6" ht="12.75">
      <c r="B571" s="75"/>
      <c r="F571" s="611"/>
    </row>
    <row r="572" spans="2:6" ht="12.75">
      <c r="B572" s="75"/>
      <c r="F572" s="611"/>
    </row>
    <row r="573" spans="2:6" ht="12.75">
      <c r="B573" s="75"/>
      <c r="F573" s="611"/>
    </row>
    <row r="574" spans="2:6" ht="12.75">
      <c r="B574" s="75"/>
      <c r="F574" s="611"/>
    </row>
    <row r="575" spans="2:6" ht="12.75">
      <c r="B575" s="75"/>
      <c r="F575" s="611"/>
    </row>
    <row r="576" spans="2:6" ht="12.75">
      <c r="B576" s="75"/>
      <c r="F576" s="611"/>
    </row>
    <row r="577" spans="2:6" ht="12.75">
      <c r="B577" s="75"/>
      <c r="F577" s="611"/>
    </row>
    <row r="578" spans="2:6" ht="12.75">
      <c r="B578" s="75"/>
      <c r="F578" s="611"/>
    </row>
    <row r="579" spans="2:6" ht="12.75">
      <c r="B579" s="75"/>
      <c r="F579" s="611"/>
    </row>
    <row r="580" spans="2:6" ht="12.75">
      <c r="B580" s="75"/>
      <c r="F580" s="611"/>
    </row>
    <row r="581" spans="2:6" ht="12.75">
      <c r="B581" s="75"/>
      <c r="F581" s="611"/>
    </row>
    <row r="582" spans="2:6" ht="12.75">
      <c r="B582" s="75"/>
      <c r="F582" s="611"/>
    </row>
    <row r="583" spans="2:6" ht="12.75">
      <c r="B583" s="75"/>
      <c r="F583" s="611"/>
    </row>
    <row r="584" spans="2:6" ht="12.75">
      <c r="B584" s="75"/>
      <c r="F584" s="611"/>
    </row>
    <row r="585" spans="2:6" ht="12.75">
      <c r="B585" s="75"/>
      <c r="F585" s="611"/>
    </row>
    <row r="586" spans="2:6" ht="12.75">
      <c r="B586" s="75"/>
      <c r="F586" s="611"/>
    </row>
    <row r="587" spans="2:6" ht="12.75">
      <c r="B587" s="75"/>
      <c r="F587" s="611"/>
    </row>
    <row r="588" spans="2:6" ht="12.75">
      <c r="B588" s="75"/>
      <c r="F588" s="611"/>
    </row>
    <row r="589" spans="2:6" ht="12.75">
      <c r="B589" s="75"/>
      <c r="F589" s="611"/>
    </row>
    <row r="590" spans="2:6" ht="12.75">
      <c r="B590" s="75"/>
      <c r="F590" s="611"/>
    </row>
    <row r="591" spans="2:6" ht="12.75">
      <c r="B591" s="75"/>
      <c r="F591" s="611"/>
    </row>
    <row r="592" spans="2:6" ht="12.75">
      <c r="B592" s="75"/>
      <c r="F592" s="611"/>
    </row>
    <row r="593" spans="2:6" ht="12.75">
      <c r="B593" s="75"/>
      <c r="F593" s="611"/>
    </row>
    <row r="594" spans="2:6" ht="12.75">
      <c r="B594" s="75"/>
      <c r="F594" s="611"/>
    </row>
    <row r="595" spans="2:6" ht="12.75">
      <c r="B595" s="75"/>
      <c r="F595" s="611"/>
    </row>
    <row r="596" spans="2:6" ht="12.75">
      <c r="B596" s="75"/>
      <c r="F596" s="611"/>
    </row>
    <row r="597" spans="2:6" ht="12.75">
      <c r="B597" s="75"/>
      <c r="F597" s="611"/>
    </row>
    <row r="598" spans="2:6" ht="12.75">
      <c r="B598" s="75"/>
      <c r="F598" s="611"/>
    </row>
    <row r="599" spans="2:6" ht="12.75">
      <c r="B599" s="75"/>
      <c r="F599" s="611"/>
    </row>
    <row r="600" spans="2:6" ht="12.75">
      <c r="B600" s="75"/>
      <c r="F600" s="611"/>
    </row>
    <row r="601" spans="2:6" ht="12.75">
      <c r="B601" s="75"/>
      <c r="F601" s="611"/>
    </row>
    <row r="602" spans="2:6" ht="12.75">
      <c r="B602" s="75"/>
      <c r="F602" s="611"/>
    </row>
    <row r="603" spans="2:6" ht="12.75">
      <c r="B603" s="75"/>
      <c r="F603" s="611"/>
    </row>
    <row r="604" spans="2:6" ht="12.75">
      <c r="B604" s="75"/>
      <c r="F604" s="611"/>
    </row>
    <row r="605" spans="2:6" ht="12.75">
      <c r="B605" s="75"/>
      <c r="F605" s="611"/>
    </row>
    <row r="606" spans="2:6" ht="12.75">
      <c r="B606" s="75"/>
      <c r="F606" s="611"/>
    </row>
    <row r="607" spans="2:6" ht="12.75">
      <c r="B607" s="75"/>
      <c r="F607" s="611"/>
    </row>
    <row r="608" spans="2:6" ht="12.75">
      <c r="B608" s="75"/>
      <c r="F608" s="611"/>
    </row>
    <row r="609" spans="2:6" ht="12.75">
      <c r="B609" s="75"/>
      <c r="F609" s="611"/>
    </row>
    <row r="610" spans="2:6" ht="12.75">
      <c r="B610" s="75"/>
      <c r="F610" s="611"/>
    </row>
    <row r="611" spans="2:6" ht="12.75">
      <c r="B611" s="75"/>
      <c r="F611" s="611"/>
    </row>
    <row r="612" spans="2:6" ht="12.75">
      <c r="B612" s="75"/>
      <c r="F612" s="611"/>
    </row>
    <row r="613" spans="2:6" ht="12.75">
      <c r="B613" s="75"/>
      <c r="F613" s="611"/>
    </row>
    <row r="614" spans="2:6" ht="12.75">
      <c r="B614" s="75"/>
      <c r="F614" s="611"/>
    </row>
    <row r="615" spans="2:6" ht="12.75">
      <c r="B615" s="75"/>
      <c r="F615" s="611"/>
    </row>
    <row r="616" spans="2:6" ht="12.75">
      <c r="B616" s="75"/>
      <c r="F616" s="611"/>
    </row>
    <row r="617" spans="2:6" ht="12.75">
      <c r="B617" s="75"/>
      <c r="F617" s="611"/>
    </row>
    <row r="618" spans="2:6" ht="12.75">
      <c r="B618" s="75"/>
      <c r="F618" s="611"/>
    </row>
    <row r="619" spans="2:6" ht="12.75">
      <c r="B619" s="75"/>
      <c r="F619" s="611"/>
    </row>
    <row r="620" spans="2:6" ht="12.75">
      <c r="B620" s="75"/>
      <c r="F620" s="611"/>
    </row>
    <row r="621" spans="2:6" ht="12.75">
      <c r="B621" s="75"/>
      <c r="F621" s="611"/>
    </row>
    <row r="622" spans="2:6" ht="12.75">
      <c r="B622" s="75"/>
      <c r="F622" s="611"/>
    </row>
    <row r="623" spans="2:6" ht="12.75">
      <c r="B623" s="75"/>
      <c r="F623" s="611"/>
    </row>
    <row r="624" spans="2:6" ht="12.75">
      <c r="B624" s="75"/>
      <c r="F624" s="611"/>
    </row>
    <row r="625" spans="2:6" ht="12.75">
      <c r="B625" s="75"/>
      <c r="F625" s="611"/>
    </row>
    <row r="626" spans="2:6" ht="12.75">
      <c r="B626" s="75"/>
      <c r="F626" s="611"/>
    </row>
    <row r="627" spans="2:6" ht="12.75">
      <c r="B627" s="75"/>
      <c r="F627" s="611"/>
    </row>
    <row r="628" spans="2:6" ht="12.75">
      <c r="B628" s="75"/>
      <c r="F628" s="611"/>
    </row>
    <row r="629" spans="2:6" ht="12.75">
      <c r="B629" s="75"/>
      <c r="F629" s="611"/>
    </row>
    <row r="630" spans="2:6" ht="12.75">
      <c r="B630" s="75"/>
      <c r="F630" s="611"/>
    </row>
    <row r="631" spans="2:6" ht="12.75">
      <c r="B631" s="75"/>
      <c r="F631" s="611"/>
    </row>
    <row r="632" spans="2:6" ht="12.75">
      <c r="B632" s="75"/>
      <c r="F632" s="611"/>
    </row>
    <row r="633" spans="2:6" ht="12.75">
      <c r="B633" s="75"/>
      <c r="F633" s="611"/>
    </row>
    <row r="634" spans="2:6" ht="12.75">
      <c r="B634" s="75"/>
      <c r="F634" s="611"/>
    </row>
    <row r="635" spans="2:6" ht="12.75">
      <c r="B635" s="75"/>
      <c r="F635" s="611"/>
    </row>
    <row r="636" spans="2:6" ht="12.75">
      <c r="B636" s="75"/>
      <c r="F636" s="611"/>
    </row>
    <row r="637" spans="2:6" ht="12.75">
      <c r="B637" s="75"/>
      <c r="F637" s="611"/>
    </row>
    <row r="638" spans="2:6" ht="12.75">
      <c r="B638" s="75"/>
      <c r="F638" s="611"/>
    </row>
    <row r="639" spans="2:6" ht="12.75">
      <c r="B639" s="75"/>
      <c r="F639" s="611"/>
    </row>
    <row r="640" spans="2:6" ht="12.75">
      <c r="B640" s="75"/>
      <c r="F640" s="611"/>
    </row>
    <row r="641" spans="2:6" ht="12.75">
      <c r="B641" s="75"/>
      <c r="F641" s="611"/>
    </row>
    <row r="642" spans="2:6" ht="12.75">
      <c r="B642" s="75"/>
      <c r="F642" s="611"/>
    </row>
    <row r="643" spans="2:6" ht="12.75">
      <c r="B643" s="75"/>
      <c r="F643" s="611"/>
    </row>
    <row r="644" spans="2:6" ht="12.75">
      <c r="B644" s="75"/>
      <c r="F644" s="611"/>
    </row>
    <row r="645" spans="2:6" ht="12.75">
      <c r="B645" s="75"/>
      <c r="F645" s="611"/>
    </row>
    <row r="646" spans="2:6" ht="12.75">
      <c r="B646" s="75"/>
      <c r="F646" s="611"/>
    </row>
    <row r="647" spans="2:6" ht="12.75">
      <c r="B647" s="75"/>
      <c r="F647" s="611"/>
    </row>
    <row r="648" spans="2:6" ht="12.75">
      <c r="B648" s="75"/>
      <c r="F648" s="611"/>
    </row>
    <row r="649" spans="2:6" ht="12.75">
      <c r="B649" s="75"/>
      <c r="F649" s="611"/>
    </row>
    <row r="650" spans="2:6" ht="12.75">
      <c r="B650" s="75"/>
      <c r="F650" s="611"/>
    </row>
    <row r="651" spans="2:6" ht="12.75">
      <c r="B651" s="75"/>
      <c r="F651" s="611"/>
    </row>
    <row r="652" spans="2:6" ht="12.75">
      <c r="B652" s="75"/>
      <c r="F652" s="611"/>
    </row>
    <row r="653" spans="2:6" ht="12.75">
      <c r="B653" s="75"/>
      <c r="F653" s="611"/>
    </row>
    <row r="654" spans="2:6" ht="12.75">
      <c r="B654" s="75"/>
      <c r="F654" s="611"/>
    </row>
    <row r="655" spans="2:6" ht="12.75">
      <c r="B655" s="75"/>
      <c r="F655" s="611"/>
    </row>
    <row r="656" spans="2:6" ht="12.75">
      <c r="B656" s="75"/>
      <c r="F656" s="611"/>
    </row>
    <row r="657" spans="2:6" ht="12.75">
      <c r="B657" s="75"/>
      <c r="F657" s="611"/>
    </row>
    <row r="658" spans="2:6" ht="12.75">
      <c r="B658" s="75"/>
      <c r="F658" s="611"/>
    </row>
    <row r="659" spans="2:6" ht="12.75">
      <c r="B659" s="75"/>
      <c r="F659" s="611"/>
    </row>
    <row r="660" spans="2:6" ht="12.75">
      <c r="B660" s="75"/>
      <c r="F660" s="611"/>
    </row>
    <row r="661" spans="2:6" ht="12.75">
      <c r="B661" s="75"/>
      <c r="F661" s="611"/>
    </row>
    <row r="662" spans="2:6" ht="12.75">
      <c r="B662" s="75"/>
      <c r="F662" s="611"/>
    </row>
    <row r="663" spans="2:6" ht="12.75">
      <c r="B663" s="75"/>
      <c r="F663" s="611"/>
    </row>
    <row r="664" spans="2:6" ht="12.75">
      <c r="B664" s="75"/>
      <c r="F664" s="611"/>
    </row>
    <row r="665" spans="2:6" ht="12.75">
      <c r="B665" s="75"/>
      <c r="F665" s="611"/>
    </row>
    <row r="666" spans="2:6" ht="12.75">
      <c r="B666" s="75"/>
      <c r="F666" s="611"/>
    </row>
    <row r="667" spans="2:6" ht="12.75">
      <c r="B667" s="75"/>
      <c r="F667" s="611"/>
    </row>
    <row r="668" spans="2:6" ht="12.75">
      <c r="B668" s="75"/>
      <c r="F668" s="611"/>
    </row>
    <row r="669" spans="2:6" ht="12.75">
      <c r="B669" s="75"/>
      <c r="F669" s="611"/>
    </row>
    <row r="670" spans="2:6" ht="12.75">
      <c r="B670" s="75"/>
      <c r="F670" s="611"/>
    </row>
    <row r="671" spans="2:6" ht="12.75">
      <c r="B671" s="75"/>
      <c r="F671" s="611"/>
    </row>
    <row r="672" spans="2:6" ht="12.75">
      <c r="B672" s="75"/>
      <c r="F672" s="611"/>
    </row>
    <row r="673" spans="2:6" ht="12.75">
      <c r="B673" s="75"/>
      <c r="F673" s="611"/>
    </row>
    <row r="674" spans="2:6" ht="12.75">
      <c r="B674" s="75"/>
      <c r="F674" s="611"/>
    </row>
    <row r="675" spans="2:6" ht="12.75">
      <c r="B675" s="75"/>
      <c r="F675" s="611"/>
    </row>
    <row r="676" spans="2:6" ht="12.75">
      <c r="B676" s="75"/>
      <c r="F676" s="611"/>
    </row>
    <row r="677" spans="2:6" ht="12.75">
      <c r="B677" s="75"/>
      <c r="F677" s="611"/>
    </row>
    <row r="678" spans="2:6" ht="12.75">
      <c r="B678" s="75"/>
      <c r="F678" s="611"/>
    </row>
    <row r="679" spans="2:6" ht="12.75">
      <c r="B679" s="75"/>
      <c r="F679" s="611"/>
    </row>
    <row r="680" spans="2:6" ht="12.75">
      <c r="B680" s="75"/>
      <c r="F680" s="611"/>
    </row>
    <row r="681" spans="2:6" ht="12.75">
      <c r="B681" s="75"/>
      <c r="F681" s="611"/>
    </row>
    <row r="682" spans="2:6" ht="12.75">
      <c r="B682" s="75"/>
      <c r="F682" s="611"/>
    </row>
    <row r="683" spans="2:6" ht="12.75">
      <c r="B683" s="75"/>
      <c r="F683" s="611"/>
    </row>
    <row r="684" spans="2:6" ht="12.75">
      <c r="B684" s="75"/>
      <c r="F684" s="611"/>
    </row>
    <row r="685" spans="2:6" ht="12.75">
      <c r="B685" s="75"/>
      <c r="F685" s="611"/>
    </row>
    <row r="686" spans="2:6" ht="12.75">
      <c r="B686" s="75"/>
      <c r="F686" s="611"/>
    </row>
    <row r="687" spans="2:6" ht="12.75">
      <c r="B687" s="75"/>
      <c r="F687" s="611"/>
    </row>
    <row r="688" spans="2:6" ht="12.75">
      <c r="B688" s="75"/>
      <c r="F688" s="611"/>
    </row>
    <row r="689" spans="2:6" ht="12.75">
      <c r="B689" s="75"/>
      <c r="F689" s="611"/>
    </row>
    <row r="690" spans="2:6" ht="12.75">
      <c r="B690" s="75"/>
      <c r="F690" s="611"/>
    </row>
    <row r="691" spans="2:6" ht="12.75">
      <c r="B691" s="75"/>
      <c r="F691" s="611"/>
    </row>
    <row r="692" spans="2:6" ht="12.75">
      <c r="B692" s="75"/>
      <c r="F692" s="611"/>
    </row>
    <row r="693" spans="2:6" ht="12.75">
      <c r="B693" s="75"/>
      <c r="F693" s="611"/>
    </row>
    <row r="694" spans="2:6" ht="12.75">
      <c r="B694" s="75"/>
      <c r="F694" s="611"/>
    </row>
    <row r="695" spans="2:6" ht="12.75">
      <c r="B695" s="75"/>
      <c r="F695" s="611"/>
    </row>
    <row r="696" spans="2:6" ht="12.75">
      <c r="B696" s="75"/>
      <c r="F696" s="611"/>
    </row>
    <row r="697" spans="2:6" ht="12.75">
      <c r="B697" s="75"/>
      <c r="F697" s="611"/>
    </row>
    <row r="698" spans="2:6" ht="12.75">
      <c r="B698" s="75"/>
      <c r="F698" s="611"/>
    </row>
    <row r="699" spans="2:6" ht="12.75">
      <c r="B699" s="75"/>
      <c r="F699" s="611"/>
    </row>
    <row r="700" spans="2:6" ht="12.75">
      <c r="B700" s="75"/>
      <c r="F700" s="611"/>
    </row>
    <row r="701" spans="2:6" ht="12.75">
      <c r="B701" s="75"/>
      <c r="F701" s="611"/>
    </row>
    <row r="702" spans="2:6" ht="12.75">
      <c r="B702" s="75"/>
      <c r="F702" s="611"/>
    </row>
    <row r="703" spans="2:6" ht="12.75">
      <c r="B703" s="75"/>
      <c r="F703" s="611"/>
    </row>
    <row r="704" spans="2:6" ht="12.75">
      <c r="B704" s="75"/>
      <c r="F704" s="611"/>
    </row>
    <row r="705" spans="2:6" ht="12.75">
      <c r="B705" s="75"/>
      <c r="F705" s="611"/>
    </row>
    <row r="706" spans="2:6" ht="12.75">
      <c r="B706" s="75"/>
      <c r="F706" s="611"/>
    </row>
    <row r="707" spans="2:6" ht="12.75">
      <c r="B707" s="75"/>
      <c r="F707" s="611"/>
    </row>
    <row r="708" spans="2:6" ht="12.75">
      <c r="B708" s="75"/>
      <c r="F708" s="611"/>
    </row>
    <row r="709" spans="2:6" ht="12.75">
      <c r="B709" s="75"/>
      <c r="F709" s="611"/>
    </row>
    <row r="710" spans="2:6" ht="12.75">
      <c r="B710" s="75"/>
      <c r="F710" s="611"/>
    </row>
    <row r="711" spans="2:6" ht="12.75">
      <c r="B711" s="75"/>
      <c r="F711" s="611"/>
    </row>
    <row r="712" spans="2:6" ht="12.75">
      <c r="B712" s="75"/>
      <c r="F712" s="611"/>
    </row>
    <row r="713" spans="2:6" ht="12.75">
      <c r="B713" s="75"/>
      <c r="F713" s="611"/>
    </row>
    <row r="714" spans="2:6" ht="12.75">
      <c r="B714" s="75"/>
      <c r="F714" s="611"/>
    </row>
    <row r="715" spans="2:6" ht="12.75">
      <c r="B715" s="75"/>
      <c r="F715" s="611"/>
    </row>
    <row r="716" spans="2:6" ht="12.75">
      <c r="B716" s="75"/>
      <c r="F716" s="611"/>
    </row>
    <row r="717" spans="2:6" ht="12.75">
      <c r="B717" s="75"/>
      <c r="F717" s="611"/>
    </row>
    <row r="718" spans="2:6" ht="12.75">
      <c r="B718" s="75"/>
      <c r="F718" s="611"/>
    </row>
    <row r="719" spans="2:6" ht="12.75">
      <c r="B719" s="75"/>
      <c r="F719" s="611"/>
    </row>
    <row r="720" spans="2:6" ht="12.75">
      <c r="B720" s="75"/>
      <c r="F720" s="611"/>
    </row>
    <row r="721" spans="2:6" ht="12.75">
      <c r="B721" s="75"/>
      <c r="F721" s="611"/>
    </row>
    <row r="722" spans="2:6" ht="12.75">
      <c r="B722" s="75"/>
      <c r="F722" s="611"/>
    </row>
    <row r="723" spans="2:6" ht="12.75">
      <c r="B723" s="75"/>
      <c r="F723" s="611"/>
    </row>
    <row r="724" spans="2:6" ht="12.75">
      <c r="B724" s="75"/>
      <c r="F724" s="611"/>
    </row>
    <row r="725" spans="2:6" ht="12.75">
      <c r="B725" s="75"/>
      <c r="F725" s="611"/>
    </row>
    <row r="726" spans="2:6" ht="12.75">
      <c r="B726" s="75"/>
      <c r="F726" s="611"/>
    </row>
    <row r="727" spans="2:6" ht="12.75">
      <c r="B727" s="75"/>
      <c r="F727" s="611"/>
    </row>
    <row r="728" spans="2:6" ht="12.75">
      <c r="B728" s="75"/>
      <c r="F728" s="611"/>
    </row>
    <row r="729" spans="2:6" ht="12.75">
      <c r="B729" s="75"/>
      <c r="F729" s="611"/>
    </row>
    <row r="730" spans="2:6" ht="12.75">
      <c r="B730" s="75"/>
      <c r="F730" s="611"/>
    </row>
    <row r="731" spans="2:6" ht="12.75">
      <c r="B731" s="75"/>
      <c r="F731" s="611"/>
    </row>
    <row r="732" spans="2:6" ht="12.75">
      <c r="B732" s="75"/>
      <c r="F732" s="611"/>
    </row>
    <row r="733" spans="2:6" ht="12.75">
      <c r="B733" s="75"/>
      <c r="F733" s="611"/>
    </row>
    <row r="734" spans="2:6" ht="12.75">
      <c r="B734" s="75"/>
      <c r="F734" s="611"/>
    </row>
    <row r="735" spans="2:6" ht="12.75">
      <c r="B735" s="75"/>
      <c r="F735" s="611"/>
    </row>
    <row r="736" spans="2:6" ht="12.75">
      <c r="B736" s="75"/>
      <c r="F736" s="611"/>
    </row>
    <row r="737" spans="2:6" ht="12.75">
      <c r="B737" s="75"/>
      <c r="F737" s="611"/>
    </row>
    <row r="738" spans="2:6" ht="12.75">
      <c r="B738" s="75"/>
      <c r="F738" s="611"/>
    </row>
    <row r="739" spans="2:6" ht="12.75">
      <c r="B739" s="75"/>
      <c r="F739" s="611"/>
    </row>
    <row r="740" spans="2:6" ht="12.75">
      <c r="B740" s="75"/>
      <c r="F740" s="611"/>
    </row>
    <row r="741" spans="2:6" ht="12.75">
      <c r="B741" s="75"/>
      <c r="F741" s="611"/>
    </row>
    <row r="742" spans="2:6" ht="12.75">
      <c r="B742" s="75"/>
      <c r="F742" s="611"/>
    </row>
    <row r="743" spans="2:6" ht="12.75">
      <c r="B743" s="75"/>
      <c r="F743" s="611"/>
    </row>
    <row r="744" spans="2:6" ht="12.75">
      <c r="B744" s="75"/>
      <c r="F744" s="611"/>
    </row>
    <row r="745" spans="2:6" ht="12.75">
      <c r="B745" s="75"/>
      <c r="F745" s="611"/>
    </row>
    <row r="746" spans="2:6" ht="12.75">
      <c r="B746" s="75"/>
      <c r="F746" s="611"/>
    </row>
    <row r="747" spans="2:6" ht="12.75">
      <c r="B747" s="75"/>
      <c r="F747" s="611"/>
    </row>
    <row r="748" spans="2:6" ht="12.75">
      <c r="B748" s="75"/>
      <c r="F748" s="611"/>
    </row>
    <row r="749" spans="2:6" ht="12.75">
      <c r="B749" s="75"/>
      <c r="F749" s="611"/>
    </row>
    <row r="750" spans="2:6" ht="12.75">
      <c r="B750" s="75"/>
      <c r="F750" s="611"/>
    </row>
    <row r="751" spans="2:6" ht="12.75">
      <c r="B751" s="75"/>
      <c r="F751" s="611"/>
    </row>
    <row r="752" spans="2:6" ht="12.75">
      <c r="B752" s="75"/>
      <c r="F752" s="611"/>
    </row>
    <row r="753" spans="2:6" ht="12.75">
      <c r="B753" s="75"/>
      <c r="F753" s="611"/>
    </row>
    <row r="754" spans="2:6" ht="12.75">
      <c r="B754" s="75"/>
      <c r="F754" s="611"/>
    </row>
    <row r="755" spans="2:6" ht="12.75">
      <c r="B755" s="75"/>
      <c r="F755" s="611"/>
    </row>
    <row r="756" spans="2:6" ht="12.75">
      <c r="B756" s="75"/>
      <c r="F756" s="611"/>
    </row>
    <row r="757" spans="2:6" ht="12.75">
      <c r="B757" s="75"/>
      <c r="F757" s="611"/>
    </row>
    <row r="758" spans="2:6" ht="12.75">
      <c r="B758" s="75"/>
      <c r="F758" s="611"/>
    </row>
    <row r="759" spans="2:6" ht="12.75">
      <c r="B759" s="75"/>
      <c r="F759" s="611"/>
    </row>
    <row r="760" spans="2:6" ht="12.75">
      <c r="B760" s="75"/>
      <c r="F760" s="611"/>
    </row>
    <row r="761" spans="2:6" ht="12.75">
      <c r="B761" s="75"/>
      <c r="F761" s="611"/>
    </row>
    <row r="762" spans="2:6" ht="12.75">
      <c r="B762" s="75"/>
      <c r="F762" s="611"/>
    </row>
    <row r="763" spans="2:6" ht="12.75">
      <c r="B763" s="75"/>
      <c r="F763" s="611"/>
    </row>
    <row r="764" spans="2:6" ht="12.75">
      <c r="B764" s="75"/>
      <c r="F764" s="611"/>
    </row>
    <row r="765" spans="2:6" ht="12.75">
      <c r="B765" s="75"/>
      <c r="F765" s="611"/>
    </row>
    <row r="766" spans="2:6" ht="12.75">
      <c r="B766" s="75"/>
      <c r="F766" s="611"/>
    </row>
    <row r="767" spans="2:6" ht="12.75">
      <c r="B767" s="75"/>
      <c r="F767" s="611"/>
    </row>
    <row r="768" spans="2:6" ht="12.75">
      <c r="B768" s="75"/>
      <c r="F768" s="611"/>
    </row>
    <row r="769" spans="2:6" ht="12.75">
      <c r="B769" s="75"/>
      <c r="F769" s="611"/>
    </row>
    <row r="770" spans="2:6" ht="12.75">
      <c r="B770" s="75"/>
      <c r="F770" s="611"/>
    </row>
    <row r="771" spans="2:6" ht="12.75">
      <c r="B771" s="75"/>
      <c r="F771" s="611"/>
    </row>
    <row r="772" spans="2:6" ht="12.75">
      <c r="B772" s="75"/>
      <c r="F772" s="611"/>
    </row>
    <row r="773" spans="2:6" ht="12.75">
      <c r="B773" s="75"/>
      <c r="F773" s="611"/>
    </row>
    <row r="774" spans="2:6" ht="12.75">
      <c r="B774" s="75"/>
      <c r="F774" s="611"/>
    </row>
    <row r="775" spans="2:6" ht="12.75">
      <c r="B775" s="75"/>
      <c r="F775" s="611"/>
    </row>
    <row r="776" spans="2:6" ht="12.75">
      <c r="B776" s="75"/>
      <c r="F776" s="611"/>
    </row>
    <row r="777" spans="2:6" ht="12.75">
      <c r="B777" s="75"/>
      <c r="F777" s="611"/>
    </row>
    <row r="778" spans="2:6" ht="12.75">
      <c r="B778" s="75"/>
      <c r="F778" s="611"/>
    </row>
    <row r="779" spans="2:6" ht="12.75">
      <c r="B779" s="75"/>
      <c r="F779" s="611"/>
    </row>
    <row r="780" spans="2:6" ht="12.75">
      <c r="B780" s="75"/>
      <c r="F780" s="611"/>
    </row>
    <row r="781" spans="2:6" ht="12.75">
      <c r="B781" s="75"/>
      <c r="F781" s="611"/>
    </row>
    <row r="782" spans="2:6" ht="12.75">
      <c r="B782" s="75"/>
      <c r="F782" s="611"/>
    </row>
    <row r="783" spans="2:6" ht="12.75">
      <c r="B783" s="75"/>
      <c r="F783" s="611"/>
    </row>
    <row r="784" spans="2:6" ht="12.75">
      <c r="B784" s="75"/>
      <c r="F784" s="611"/>
    </row>
    <row r="785" spans="2:6" ht="12.75">
      <c r="B785" s="75"/>
      <c r="F785" s="611"/>
    </row>
    <row r="786" spans="2:6" ht="12.75">
      <c r="B786" s="75"/>
      <c r="F786" s="611"/>
    </row>
    <row r="787" spans="2:6" ht="12.75">
      <c r="B787" s="75"/>
      <c r="F787" s="611"/>
    </row>
    <row r="788" spans="2:6" ht="12.75">
      <c r="B788" s="75"/>
      <c r="F788" s="611"/>
    </row>
    <row r="789" spans="2:6" ht="12.75">
      <c r="B789" s="75"/>
      <c r="F789" s="611"/>
    </row>
    <row r="790" spans="2:6" ht="12.75">
      <c r="B790" s="75"/>
      <c r="F790" s="611"/>
    </row>
    <row r="791" spans="2:6" ht="12.75">
      <c r="B791" s="75"/>
      <c r="F791" s="611"/>
    </row>
    <row r="792" spans="2:6" ht="12.75">
      <c r="B792" s="75"/>
      <c r="F792" s="611"/>
    </row>
    <row r="793" spans="2:6" ht="12.75">
      <c r="B793" s="75"/>
      <c r="F793" s="611"/>
    </row>
    <row r="794" spans="2:6" ht="12.75">
      <c r="B794" s="75"/>
      <c r="F794" s="611"/>
    </row>
    <row r="795" spans="2:6" ht="12.75">
      <c r="B795" s="75"/>
      <c r="F795" s="611"/>
    </row>
    <row r="796" spans="2:6" ht="12.75">
      <c r="B796" s="75"/>
      <c r="F796" s="611"/>
    </row>
    <row r="797" spans="2:6" ht="12.75">
      <c r="B797" s="75"/>
      <c r="F797" s="611"/>
    </row>
    <row r="798" spans="2:6" ht="12.75">
      <c r="B798" s="75"/>
      <c r="F798" s="611"/>
    </row>
    <row r="799" spans="2:6" ht="12.75">
      <c r="B799" s="75"/>
      <c r="F799" s="611"/>
    </row>
    <row r="800" spans="2:6" ht="12.75">
      <c r="B800" s="75"/>
      <c r="F800" s="611"/>
    </row>
    <row r="801" spans="2:6" ht="12.75">
      <c r="B801" s="75"/>
      <c r="F801" s="611"/>
    </row>
    <row r="802" spans="2:6" ht="12.75">
      <c r="B802" s="75"/>
      <c r="F802" s="611"/>
    </row>
    <row r="803" spans="2:6" ht="12.75">
      <c r="B803" s="75"/>
      <c r="F803" s="611"/>
    </row>
    <row r="804" spans="2:6" ht="12.75">
      <c r="B804" s="75"/>
      <c r="F804" s="611"/>
    </row>
    <row r="805" spans="2:6" ht="12.75">
      <c r="B805" s="75"/>
      <c r="F805" s="611"/>
    </row>
    <row r="806" spans="2:6" ht="12.75">
      <c r="B806" s="75"/>
      <c r="F806" s="611"/>
    </row>
    <row r="807" spans="2:6" ht="12.75">
      <c r="B807" s="75"/>
      <c r="F807" s="611"/>
    </row>
    <row r="808" spans="2:6" ht="12.75">
      <c r="B808" s="75"/>
      <c r="F808" s="611"/>
    </row>
    <row r="809" spans="2:6" ht="12.75">
      <c r="B809" s="75"/>
      <c r="F809" s="611"/>
    </row>
    <row r="810" spans="2:6" ht="12.75">
      <c r="B810" s="75"/>
      <c r="F810" s="611"/>
    </row>
    <row r="811" spans="2:6" ht="12.75">
      <c r="B811" s="75"/>
      <c r="F811" s="611"/>
    </row>
    <row r="812" spans="2:6" ht="12.75">
      <c r="B812" s="75"/>
      <c r="F812" s="611"/>
    </row>
    <row r="813" spans="2:6" ht="12.75">
      <c r="B813" s="75"/>
      <c r="F813" s="611"/>
    </row>
    <row r="814" spans="2:6" ht="12.75">
      <c r="B814" s="75"/>
      <c r="F814" s="611"/>
    </row>
    <row r="815" spans="2:6" ht="12.75">
      <c r="B815" s="75"/>
      <c r="F815" s="611"/>
    </row>
    <row r="816" spans="2:6" ht="12.75">
      <c r="B816" s="75"/>
      <c r="F816" s="611"/>
    </row>
    <row r="817" spans="2:6" ht="12.75">
      <c r="B817" s="75"/>
      <c r="F817" s="611"/>
    </row>
    <row r="818" spans="2:6" ht="12.75">
      <c r="B818" s="75"/>
      <c r="F818" s="611"/>
    </row>
    <row r="819" spans="2:6" ht="12.75">
      <c r="B819" s="75"/>
      <c r="F819" s="611"/>
    </row>
    <row r="820" spans="2:6" ht="12.75">
      <c r="B820" s="75"/>
      <c r="F820" s="611"/>
    </row>
    <row r="821" spans="2:6" ht="12.75">
      <c r="B821" s="75"/>
      <c r="F821" s="611"/>
    </row>
    <row r="822" spans="2:6" ht="12.75">
      <c r="B822" s="75"/>
      <c r="F822" s="611"/>
    </row>
    <row r="823" spans="2:6" ht="12.75">
      <c r="B823" s="75"/>
      <c r="F823" s="611"/>
    </row>
    <row r="824" spans="2:6" ht="12.75">
      <c r="B824" s="75"/>
      <c r="F824" s="611"/>
    </row>
    <row r="825" spans="2:6" ht="12.75">
      <c r="B825" s="75"/>
      <c r="F825" s="611"/>
    </row>
    <row r="826" spans="2:6" ht="12.75">
      <c r="B826" s="75"/>
      <c r="F826" s="611"/>
    </row>
    <row r="827" spans="2:6" ht="12.75">
      <c r="B827" s="75"/>
      <c r="F827" s="611"/>
    </row>
    <row r="828" spans="2:6" ht="12.75">
      <c r="B828" s="75"/>
      <c r="F828" s="611"/>
    </row>
    <row r="829" spans="2:6" ht="12.75">
      <c r="B829" s="75"/>
      <c r="F829" s="611"/>
    </row>
    <row r="830" spans="2:6" ht="12.75">
      <c r="B830" s="75"/>
      <c r="F830" s="611"/>
    </row>
    <row r="831" spans="2:6" ht="12.75">
      <c r="B831" s="75"/>
      <c r="F831" s="611"/>
    </row>
    <row r="832" spans="2:6" ht="12.75">
      <c r="B832" s="75"/>
      <c r="F832" s="611"/>
    </row>
    <row r="833" spans="2:6" ht="12.75">
      <c r="B833" s="75"/>
      <c r="F833" s="611"/>
    </row>
    <row r="834" spans="2:6" ht="12.75">
      <c r="B834" s="75"/>
      <c r="F834" s="611"/>
    </row>
    <row r="835" spans="2:6" ht="12.75">
      <c r="B835" s="75"/>
      <c r="F835" s="611"/>
    </row>
    <row r="836" spans="2:6" ht="12.75">
      <c r="B836" s="75"/>
      <c r="F836" s="611"/>
    </row>
    <row r="837" spans="2:6" ht="12.75">
      <c r="B837" s="75"/>
      <c r="F837" s="611"/>
    </row>
    <row r="838" spans="2:6" ht="12.75">
      <c r="B838" s="75"/>
      <c r="F838" s="611"/>
    </row>
    <row r="839" spans="2:6" ht="12.75">
      <c r="B839" s="75"/>
      <c r="F839" s="611"/>
    </row>
    <row r="840" spans="2:6" ht="12.75">
      <c r="B840" s="75"/>
      <c r="F840" s="611"/>
    </row>
    <row r="841" spans="2:6" ht="12.75">
      <c r="B841" s="75"/>
      <c r="F841" s="611"/>
    </row>
    <row r="842" spans="2:6" ht="12.75">
      <c r="B842" s="75"/>
      <c r="F842" s="611"/>
    </row>
    <row r="843" spans="2:6" ht="12.75">
      <c r="B843" s="75"/>
      <c r="F843" s="611"/>
    </row>
    <row r="844" spans="2:6" ht="12.75">
      <c r="B844" s="75"/>
      <c r="F844" s="611"/>
    </row>
    <row r="845" spans="2:6" ht="12.75">
      <c r="B845" s="75"/>
      <c r="F845" s="611"/>
    </row>
    <row r="846" spans="2:6" ht="12.75">
      <c r="B846" s="75"/>
      <c r="F846" s="611"/>
    </row>
    <row r="847" spans="2:6" ht="12.75">
      <c r="B847" s="75"/>
      <c r="F847" s="611"/>
    </row>
    <row r="848" spans="2:6" ht="12.75">
      <c r="B848" s="75"/>
      <c r="F848" s="611"/>
    </row>
    <row r="849" spans="2:6" ht="12.75">
      <c r="B849" s="75"/>
      <c r="F849" s="611"/>
    </row>
    <row r="850" spans="2:6" ht="12.75">
      <c r="B850" s="75"/>
      <c r="F850" s="611"/>
    </row>
    <row r="851" spans="2:6" ht="12.75">
      <c r="B851" s="75"/>
      <c r="F851" s="611"/>
    </row>
    <row r="852" spans="2:6" ht="12.75">
      <c r="B852" s="75"/>
      <c r="F852" s="611"/>
    </row>
    <row r="853" spans="2:6" ht="12.75">
      <c r="B853" s="75"/>
      <c r="F853" s="611"/>
    </row>
    <row r="854" spans="2:6" ht="12.75">
      <c r="B854" s="75"/>
      <c r="F854" s="611"/>
    </row>
    <row r="855" spans="2:6" ht="12.75">
      <c r="B855" s="75"/>
      <c r="F855" s="611"/>
    </row>
    <row r="856" spans="2:6" ht="12.75">
      <c r="B856" s="75"/>
      <c r="F856" s="611"/>
    </row>
    <row r="857" spans="2:6" ht="12.75">
      <c r="B857" s="75"/>
      <c r="F857" s="611"/>
    </row>
    <row r="858" spans="2:6" ht="12.75">
      <c r="B858" s="75"/>
      <c r="F858" s="611"/>
    </row>
    <row r="859" spans="2:6" ht="12.75">
      <c r="B859" s="75"/>
      <c r="F859" s="611"/>
    </row>
    <row r="860" spans="2:6" ht="12.75">
      <c r="B860" s="75"/>
      <c r="F860" s="611"/>
    </row>
    <row r="861" spans="2:6" ht="12.75">
      <c r="B861" s="75"/>
      <c r="F861" s="611"/>
    </row>
    <row r="862" spans="2:6" ht="12.75">
      <c r="B862" s="75"/>
      <c r="F862" s="611"/>
    </row>
    <row r="863" spans="2:6" ht="12.75">
      <c r="B863" s="75"/>
      <c r="F863" s="611"/>
    </row>
    <row r="864" spans="2:6" ht="12.75">
      <c r="B864" s="75"/>
      <c r="F864" s="611"/>
    </row>
    <row r="865" spans="2:6" ht="12.75">
      <c r="B865" s="75"/>
      <c r="F865" s="611"/>
    </row>
    <row r="866" spans="2:6" ht="12.75">
      <c r="B866" s="75"/>
      <c r="F866" s="611"/>
    </row>
    <row r="867" spans="2:6" ht="12.75">
      <c r="B867" s="75"/>
      <c r="F867" s="611"/>
    </row>
    <row r="868" spans="2:6" ht="12.75">
      <c r="B868" s="75"/>
      <c r="F868" s="611"/>
    </row>
    <row r="869" spans="2:6" ht="12.75">
      <c r="B869" s="75"/>
      <c r="F869" s="611"/>
    </row>
    <row r="870" spans="2:6" ht="12.75">
      <c r="B870" s="75"/>
      <c r="F870" s="611"/>
    </row>
    <row r="871" spans="2:6" ht="12.75">
      <c r="B871" s="75"/>
      <c r="F871" s="611"/>
    </row>
    <row r="872" spans="2:6" ht="12.75">
      <c r="B872" s="75"/>
      <c r="F872" s="611"/>
    </row>
    <row r="873" spans="2:6" ht="12.75">
      <c r="B873" s="75"/>
      <c r="F873" s="611"/>
    </row>
    <row r="874" spans="2:6" ht="12.75">
      <c r="B874" s="75"/>
      <c r="F874" s="611"/>
    </row>
    <row r="875" spans="2:6" ht="12.75">
      <c r="B875" s="75"/>
      <c r="F875" s="611"/>
    </row>
    <row r="876" spans="2:6" ht="12.75">
      <c r="B876" s="75"/>
      <c r="F876" s="611"/>
    </row>
    <row r="877" spans="2:6" ht="12.75">
      <c r="B877" s="75"/>
      <c r="F877" s="611"/>
    </row>
    <row r="878" spans="2:6" ht="12.75">
      <c r="B878" s="75"/>
      <c r="F878" s="611"/>
    </row>
    <row r="879" spans="2:6" ht="12.75">
      <c r="B879" s="75"/>
      <c r="F879" s="611"/>
    </row>
    <row r="880" spans="2:6" ht="12.75">
      <c r="B880" s="75"/>
      <c r="F880" s="611"/>
    </row>
    <row r="881" spans="2:6" ht="12.75">
      <c r="B881" s="75"/>
      <c r="F881" s="611"/>
    </row>
    <row r="882" spans="2:6" ht="12.75">
      <c r="B882" s="75"/>
      <c r="F882" s="611"/>
    </row>
    <row r="883" spans="2:6" ht="12.75">
      <c r="B883" s="75"/>
      <c r="F883" s="611"/>
    </row>
    <row r="884" spans="2:6" ht="12.75">
      <c r="B884" s="75"/>
      <c r="F884" s="611"/>
    </row>
    <row r="885" spans="2:6" ht="12.75">
      <c r="B885" s="75"/>
      <c r="F885" s="611"/>
    </row>
    <row r="886" spans="2:6" ht="12.75">
      <c r="B886" s="75"/>
      <c r="F886" s="611"/>
    </row>
    <row r="887" spans="2:6" ht="12.75">
      <c r="B887" s="75"/>
      <c r="F887" s="611"/>
    </row>
    <row r="888" spans="2:6" ht="12.75">
      <c r="B888" s="75"/>
      <c r="F888" s="611"/>
    </row>
    <row r="889" spans="2:6" ht="12.75">
      <c r="B889" s="75"/>
      <c r="F889" s="611"/>
    </row>
    <row r="890" spans="2:6" ht="12.75">
      <c r="B890" s="75"/>
      <c r="F890" s="611"/>
    </row>
    <row r="891" spans="2:6" ht="12.75">
      <c r="B891" s="75"/>
      <c r="F891" s="611"/>
    </row>
    <row r="892" spans="2:6" ht="12.75">
      <c r="B892" s="75"/>
      <c r="F892" s="611"/>
    </row>
    <row r="893" spans="2:6" ht="12.75">
      <c r="B893" s="75"/>
      <c r="F893" s="611"/>
    </row>
    <row r="894" spans="2:6" ht="12.75">
      <c r="B894" s="75"/>
      <c r="F894" s="611"/>
    </row>
    <row r="895" spans="2:6" ht="12.75">
      <c r="B895" s="75"/>
      <c r="F895" s="611"/>
    </row>
    <row r="896" spans="2:6" ht="12.75">
      <c r="B896" s="75"/>
      <c r="F896" s="611"/>
    </row>
    <row r="897" spans="2:6" ht="12.75">
      <c r="B897" s="75"/>
      <c r="F897" s="611"/>
    </row>
    <row r="898" spans="2:6" ht="12.75">
      <c r="B898" s="75"/>
      <c r="F898" s="611"/>
    </row>
    <row r="899" spans="2:6" ht="12.75">
      <c r="B899" s="75"/>
      <c r="F899" s="611"/>
    </row>
    <row r="900" spans="2:6" ht="12.75">
      <c r="B900" s="75"/>
      <c r="F900" s="611"/>
    </row>
    <row r="901" spans="2:6" ht="12.75">
      <c r="B901" s="75"/>
      <c r="F901" s="611"/>
    </row>
    <row r="902" spans="2:6" ht="12.75">
      <c r="B902" s="75"/>
      <c r="F902" s="611"/>
    </row>
    <row r="903" spans="2:6" ht="12.75">
      <c r="B903" s="75"/>
      <c r="F903" s="611"/>
    </row>
    <row r="904" spans="2:6" ht="12.75">
      <c r="B904" s="75"/>
      <c r="F904" s="611"/>
    </row>
    <row r="905" spans="2:6" ht="12.75">
      <c r="B905" s="75"/>
      <c r="F905" s="611"/>
    </row>
    <row r="906" spans="2:6" ht="12.75">
      <c r="B906" s="75"/>
      <c r="F906" s="611"/>
    </row>
    <row r="907" spans="2:6" ht="12.75">
      <c r="B907" s="75"/>
      <c r="F907" s="611"/>
    </row>
    <row r="908" spans="2:6" ht="12.75">
      <c r="B908" s="75"/>
      <c r="F908" s="611"/>
    </row>
    <row r="909" spans="2:6" ht="12.75">
      <c r="B909" s="75"/>
      <c r="F909" s="611"/>
    </row>
    <row r="910" spans="2:6" ht="12.75">
      <c r="B910" s="75"/>
      <c r="F910" s="611"/>
    </row>
    <row r="911" spans="2:6" ht="12.75">
      <c r="B911" s="75"/>
      <c r="F911" s="611"/>
    </row>
    <row r="912" spans="2:6" ht="12.75">
      <c r="B912" s="75"/>
      <c r="F912" s="611"/>
    </row>
    <row r="913" spans="2:6" ht="12.75">
      <c r="B913" s="75"/>
      <c r="F913" s="611"/>
    </row>
    <row r="914" spans="2:6" ht="12.75">
      <c r="B914" s="75"/>
      <c r="F914" s="611"/>
    </row>
    <row r="915" spans="2:6" ht="12.75">
      <c r="B915" s="75"/>
      <c r="F915" s="611"/>
    </row>
    <row r="916" spans="2:6" ht="12.75">
      <c r="B916" s="75"/>
      <c r="F916" s="611"/>
    </row>
    <row r="917" spans="2:6" ht="12.75">
      <c r="B917" s="75"/>
      <c r="F917" s="611"/>
    </row>
    <row r="918" spans="2:6" ht="12.75">
      <c r="B918" s="75"/>
      <c r="F918" s="611"/>
    </row>
    <row r="919" spans="2:6" ht="12.75">
      <c r="B919" s="75"/>
      <c r="F919" s="611"/>
    </row>
    <row r="920" spans="2:6" ht="12.75">
      <c r="B920" s="75"/>
      <c r="F920" s="611"/>
    </row>
    <row r="921" spans="2:6" ht="12.75">
      <c r="B921" s="75"/>
      <c r="F921" s="611"/>
    </row>
    <row r="922" spans="2:6" ht="12.75">
      <c r="B922" s="75"/>
      <c r="F922" s="611"/>
    </row>
    <row r="923" spans="2:6" ht="12.75">
      <c r="B923" s="75"/>
      <c r="F923" s="611"/>
    </row>
    <row r="924" spans="2:6" ht="12.75">
      <c r="B924" s="75"/>
      <c r="F924" s="611"/>
    </row>
    <row r="925" spans="2:6" ht="12.75">
      <c r="B925" s="75"/>
      <c r="F925" s="611"/>
    </row>
    <row r="926" spans="2:6" ht="12.75">
      <c r="B926" s="75"/>
      <c r="F926" s="611"/>
    </row>
    <row r="927" spans="2:6" ht="12.75">
      <c r="B927" s="75"/>
      <c r="F927" s="611"/>
    </row>
    <row r="928" spans="2:6" ht="12.75">
      <c r="B928" s="75"/>
      <c r="F928" s="611"/>
    </row>
    <row r="929" spans="2:6" ht="12.75">
      <c r="B929" s="75"/>
      <c r="F929" s="611"/>
    </row>
    <row r="930" spans="2:6" ht="12.75">
      <c r="B930" s="75"/>
      <c r="F930" s="611"/>
    </row>
    <row r="931" spans="2:6" ht="12.75">
      <c r="B931" s="75"/>
      <c r="F931" s="611"/>
    </row>
    <row r="932" spans="2:6" ht="12.75">
      <c r="B932" s="75"/>
      <c r="F932" s="611"/>
    </row>
    <row r="933" spans="2:6" ht="12.75">
      <c r="B933" s="75"/>
      <c r="F933" s="611"/>
    </row>
    <row r="934" spans="2:6" ht="12.75">
      <c r="B934" s="75"/>
      <c r="F934" s="611"/>
    </row>
    <row r="935" spans="2:6" ht="12.75">
      <c r="B935" s="75"/>
      <c r="F935" s="611"/>
    </row>
    <row r="936" spans="2:6" ht="12.75">
      <c r="B936" s="75"/>
      <c r="F936" s="611"/>
    </row>
    <row r="937" spans="2:6" ht="12.75">
      <c r="B937" s="75"/>
      <c r="F937" s="611"/>
    </row>
    <row r="938" spans="2:6" ht="12.75">
      <c r="B938" s="75"/>
      <c r="F938" s="611"/>
    </row>
    <row r="939" spans="2:6" ht="12.75">
      <c r="B939" s="75"/>
      <c r="F939" s="611"/>
    </row>
    <row r="940" spans="2:6" ht="12.75">
      <c r="B940" s="75"/>
      <c r="F940" s="611"/>
    </row>
    <row r="941" spans="2:6" ht="12.75">
      <c r="B941" s="75"/>
      <c r="F941" s="611"/>
    </row>
    <row r="942" spans="2:6" ht="12.75">
      <c r="B942" s="75"/>
      <c r="F942" s="611"/>
    </row>
    <row r="943" spans="2:6" ht="12.75">
      <c r="B943" s="75"/>
      <c r="F943" s="611"/>
    </row>
    <row r="944" spans="2:6" ht="12.75">
      <c r="B944" s="75"/>
      <c r="F944" s="611"/>
    </row>
    <row r="945" spans="2:6" ht="12.75">
      <c r="B945" s="75"/>
      <c r="F945" s="611"/>
    </row>
    <row r="946" spans="2:6" ht="12.75">
      <c r="B946" s="75"/>
      <c r="F946" s="611"/>
    </row>
    <row r="947" spans="2:6" ht="12.75">
      <c r="B947" s="75"/>
      <c r="F947" s="611"/>
    </row>
    <row r="948" spans="2:6" ht="12.75">
      <c r="B948" s="75"/>
      <c r="F948" s="611"/>
    </row>
    <row r="949" spans="2:6" ht="12.75">
      <c r="B949" s="75"/>
      <c r="F949" s="611"/>
    </row>
    <row r="950" spans="2:6" ht="12.75">
      <c r="B950" s="75"/>
      <c r="F950" s="611"/>
    </row>
    <row r="951" spans="2:6" ht="12.75">
      <c r="B951" s="75"/>
      <c r="F951" s="611"/>
    </row>
    <row r="952" spans="2:6" ht="12.75">
      <c r="B952" s="75"/>
      <c r="F952" s="611"/>
    </row>
    <row r="953" spans="2:6" ht="12.75">
      <c r="B953" s="75"/>
      <c r="F953" s="611"/>
    </row>
    <row r="954" spans="2:6" ht="12.75">
      <c r="B954" s="75"/>
      <c r="F954" s="611"/>
    </row>
    <row r="955" spans="2:6" ht="12.75">
      <c r="B955" s="75"/>
      <c r="F955" s="611"/>
    </row>
    <row r="956" spans="2:6" ht="12.75">
      <c r="B956" s="75"/>
      <c r="F956" s="611"/>
    </row>
    <row r="957" spans="2:6" ht="12.75">
      <c r="B957" s="75"/>
      <c r="F957" s="611"/>
    </row>
    <row r="958" spans="2:6" ht="12.75">
      <c r="B958" s="75"/>
      <c r="F958" s="611"/>
    </row>
    <row r="959" spans="2:6" ht="12.75">
      <c r="B959" s="75"/>
      <c r="F959" s="611"/>
    </row>
    <row r="960" spans="2:6" ht="12.75">
      <c r="B960" s="75"/>
      <c r="F960" s="611"/>
    </row>
    <row r="961" spans="2:6" ht="12.75">
      <c r="B961" s="75"/>
      <c r="F961" s="611"/>
    </row>
    <row r="962" spans="2:6" ht="12.75">
      <c r="B962" s="75"/>
      <c r="F962" s="611"/>
    </row>
    <row r="963" spans="2:6" ht="12.75">
      <c r="B963" s="75"/>
      <c r="F963" s="611"/>
    </row>
    <row r="964" spans="2:6" ht="12.75">
      <c r="B964" s="75"/>
      <c r="F964" s="611"/>
    </row>
    <row r="965" spans="2:6" ht="12.75">
      <c r="B965" s="75"/>
      <c r="F965" s="611"/>
    </row>
    <row r="966" spans="2:6" ht="12.75">
      <c r="B966" s="75"/>
      <c r="F966" s="611"/>
    </row>
    <row r="967" spans="2:6" ht="12.75">
      <c r="B967" s="75"/>
      <c r="F967" s="611"/>
    </row>
    <row r="968" spans="2:6" ht="12.75">
      <c r="B968" s="75"/>
      <c r="F968" s="611"/>
    </row>
    <row r="969" spans="2:6" ht="12.75">
      <c r="B969" s="75"/>
      <c r="F969" s="611"/>
    </row>
    <row r="970" spans="2:6" ht="12.75">
      <c r="B970" s="75"/>
      <c r="F970" s="611"/>
    </row>
    <row r="971" spans="2:6" ht="12.75">
      <c r="B971" s="75"/>
      <c r="F971" s="611"/>
    </row>
    <row r="972" spans="2:6" ht="12.75">
      <c r="B972" s="75"/>
      <c r="F972" s="611"/>
    </row>
    <row r="973" spans="2:6" ht="12.75">
      <c r="B973" s="75"/>
      <c r="F973" s="611"/>
    </row>
    <row r="974" spans="2:6" ht="12.75">
      <c r="B974" s="75"/>
      <c r="F974" s="611"/>
    </row>
    <row r="975" spans="2:6" ht="12.75">
      <c r="B975" s="75"/>
      <c r="F975" s="611"/>
    </row>
    <row r="976" spans="2:6" ht="12.75">
      <c r="B976" s="75"/>
      <c r="F976" s="611"/>
    </row>
    <row r="977" spans="2:6" ht="12.75">
      <c r="B977" s="75"/>
      <c r="F977" s="611"/>
    </row>
    <row r="978" spans="2:6" ht="12.75">
      <c r="B978" s="75"/>
      <c r="F978" s="611"/>
    </row>
    <row r="979" spans="2:6" ht="12.75">
      <c r="B979" s="75"/>
      <c r="F979" s="611"/>
    </row>
    <row r="980" spans="2:6" ht="12.75">
      <c r="B980" s="75"/>
      <c r="F980" s="611"/>
    </row>
    <row r="981" spans="2:6" ht="12.75">
      <c r="B981" s="75"/>
      <c r="F981" s="611"/>
    </row>
    <row r="982" spans="2:6" ht="12.75">
      <c r="B982" s="75"/>
      <c r="F982" s="611"/>
    </row>
    <row r="983" spans="2:6" ht="12.75">
      <c r="B983" s="75"/>
      <c r="F983" s="611"/>
    </row>
    <row r="984" spans="2:6" ht="12.75">
      <c r="B984" s="75"/>
      <c r="F984" s="611"/>
    </row>
    <row r="985" spans="2:6" ht="12.75">
      <c r="B985" s="75"/>
      <c r="F985" s="611"/>
    </row>
    <row r="986" spans="2:6" ht="12.75">
      <c r="B986" s="75"/>
      <c r="F986" s="611"/>
    </row>
    <row r="987" spans="2:6" ht="12.75">
      <c r="B987" s="75"/>
      <c r="F987" s="611"/>
    </row>
    <row r="988" spans="2:6" ht="12.75">
      <c r="B988" s="75"/>
      <c r="F988" s="611"/>
    </row>
    <row r="989" spans="2:6" ht="12.75">
      <c r="B989" s="75"/>
      <c r="F989" s="611"/>
    </row>
    <row r="990" spans="2:6" ht="12.75">
      <c r="B990" s="75"/>
      <c r="F990" s="611"/>
    </row>
    <row r="991" spans="2:6" ht="12.75">
      <c r="B991" s="75"/>
      <c r="F991" s="611"/>
    </row>
    <row r="992" spans="2:6" ht="12.75">
      <c r="B992" s="75"/>
      <c r="F992" s="611"/>
    </row>
    <row r="993" spans="2:6" ht="12.75">
      <c r="B993" s="75"/>
      <c r="F993" s="611"/>
    </row>
  </sheetData>
  <autoFilter ref="A1:Z37" xr:uid="{00000000-0009-0000-0000-000012000000}"/>
  <phoneticPr fontId="8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3C47D"/>
    <outlinePr summaryBelow="0" summaryRight="0"/>
  </sheetPr>
  <dimension ref="A1:K73"/>
  <sheetViews>
    <sheetView workbookViewId="0"/>
  </sheetViews>
  <sheetFormatPr defaultColWidth="14.42578125" defaultRowHeight="15.75" customHeight="1"/>
  <cols>
    <col min="1" max="1" width="20.5703125" customWidth="1"/>
    <col min="2" max="2" width="16.140625" customWidth="1"/>
    <col min="3" max="3" width="46.85546875" customWidth="1"/>
    <col min="4" max="4" width="12.85546875" customWidth="1"/>
    <col min="5" max="5" width="11.5703125" customWidth="1"/>
    <col min="6" max="6" width="9.7109375" customWidth="1"/>
    <col min="7" max="7" width="14.28515625" customWidth="1"/>
    <col min="8" max="8" width="7.85546875" customWidth="1"/>
    <col min="10" max="10" width="46.85546875" customWidth="1"/>
    <col min="14" max="14" width="35.85546875" customWidth="1"/>
  </cols>
  <sheetData>
    <row r="1" spans="1:11" ht="15.75" customHeight="1">
      <c r="A1" s="336" t="s">
        <v>61</v>
      </c>
      <c r="B1" s="161" t="s">
        <v>62</v>
      </c>
      <c r="C1" s="161" t="s">
        <v>63</v>
      </c>
      <c r="D1" s="161" t="s">
        <v>64</v>
      </c>
      <c r="E1" s="161" t="s">
        <v>65</v>
      </c>
      <c r="F1" s="338" t="s">
        <v>66</v>
      </c>
      <c r="G1" s="338" t="s">
        <v>67</v>
      </c>
      <c r="H1" s="339" t="s">
        <v>68</v>
      </c>
      <c r="J1" s="629" t="s">
        <v>63</v>
      </c>
      <c r="K1" s="629" t="s">
        <v>235</v>
      </c>
    </row>
    <row r="2" spans="1:11" ht="15.75" customHeight="1">
      <c r="A2" s="630">
        <v>45971</v>
      </c>
      <c r="B2" s="340">
        <v>20252329</v>
      </c>
      <c r="C2" s="340" t="s">
        <v>117</v>
      </c>
      <c r="D2" s="342">
        <v>576</v>
      </c>
      <c r="E2" s="342">
        <f t="shared" ref="E2:E63" si="0">D2* VLOOKUP(C2,$J$2:$K$17,2,0)</f>
        <v>6912</v>
      </c>
      <c r="F2" s="342"/>
      <c r="G2" s="344"/>
      <c r="H2" s="344"/>
      <c r="J2" s="631" t="s">
        <v>117</v>
      </c>
      <c r="K2" s="631">
        <v>12</v>
      </c>
    </row>
    <row r="3" spans="1:11" ht="15.75" customHeight="1">
      <c r="A3" s="630">
        <v>45971</v>
      </c>
      <c r="B3" s="340">
        <v>20252328</v>
      </c>
      <c r="C3" s="340" t="s">
        <v>117</v>
      </c>
      <c r="D3" s="342">
        <v>434</v>
      </c>
      <c r="E3" s="342">
        <f t="shared" si="0"/>
        <v>5208</v>
      </c>
      <c r="F3" s="342"/>
      <c r="G3" s="344"/>
      <c r="H3" s="344"/>
      <c r="J3" s="631" t="s">
        <v>345</v>
      </c>
      <c r="K3" s="631">
        <v>6</v>
      </c>
    </row>
    <row r="4" spans="1:11" ht="15.75" customHeight="1">
      <c r="A4" s="630">
        <v>45958</v>
      </c>
      <c r="B4" s="340">
        <v>20252222</v>
      </c>
      <c r="C4" s="340" t="s">
        <v>345</v>
      </c>
      <c r="D4" s="342">
        <v>7</v>
      </c>
      <c r="E4" s="342">
        <f t="shared" si="0"/>
        <v>42</v>
      </c>
      <c r="F4" s="342"/>
      <c r="G4" s="344"/>
      <c r="H4" s="344"/>
      <c r="J4" s="631" t="s">
        <v>346</v>
      </c>
      <c r="K4" s="631">
        <v>6</v>
      </c>
    </row>
    <row r="5" spans="1:11" ht="15.75" customHeight="1">
      <c r="A5" s="630">
        <v>45958</v>
      </c>
      <c r="B5" s="340">
        <v>20252222</v>
      </c>
      <c r="C5" s="340" t="s">
        <v>345</v>
      </c>
      <c r="D5" s="342">
        <v>15</v>
      </c>
      <c r="E5" s="342">
        <f t="shared" si="0"/>
        <v>90</v>
      </c>
      <c r="F5" s="342"/>
      <c r="G5" s="344"/>
      <c r="H5" s="344"/>
      <c r="J5" s="631" t="s">
        <v>347</v>
      </c>
      <c r="K5" s="631">
        <v>6</v>
      </c>
    </row>
    <row r="6" spans="1:11" ht="15.75" customHeight="1">
      <c r="A6" s="630">
        <v>45958</v>
      </c>
      <c r="B6" s="340">
        <v>20252222</v>
      </c>
      <c r="C6" s="340" t="s">
        <v>346</v>
      </c>
      <c r="D6" s="342">
        <v>40</v>
      </c>
      <c r="E6" s="342">
        <f t="shared" si="0"/>
        <v>240</v>
      </c>
      <c r="F6" s="342"/>
      <c r="G6" s="344"/>
      <c r="H6" s="344"/>
      <c r="J6" s="631" t="s">
        <v>348</v>
      </c>
      <c r="K6" s="631">
        <v>6</v>
      </c>
    </row>
    <row r="7" spans="1:11" ht="15.75" customHeight="1">
      <c r="A7" s="630">
        <v>45958</v>
      </c>
      <c r="B7" s="340">
        <v>20252222</v>
      </c>
      <c r="C7" s="340" t="s">
        <v>347</v>
      </c>
      <c r="D7" s="342">
        <v>16</v>
      </c>
      <c r="E7" s="342">
        <f t="shared" si="0"/>
        <v>96</v>
      </c>
      <c r="F7" s="342"/>
      <c r="G7" s="344"/>
      <c r="H7" s="344"/>
      <c r="J7" s="631" t="s">
        <v>349</v>
      </c>
      <c r="K7" s="631">
        <v>3</v>
      </c>
    </row>
    <row r="8" spans="1:11" ht="15.75" customHeight="1">
      <c r="A8" s="630">
        <v>45958</v>
      </c>
      <c r="B8" s="340">
        <v>20252222</v>
      </c>
      <c r="C8" s="340" t="s">
        <v>348</v>
      </c>
      <c r="D8" s="342">
        <v>43</v>
      </c>
      <c r="E8" s="342">
        <f t="shared" si="0"/>
        <v>258</v>
      </c>
      <c r="F8" s="342"/>
      <c r="G8" s="344"/>
      <c r="H8" s="344"/>
      <c r="J8" s="631" t="s">
        <v>350</v>
      </c>
      <c r="K8" s="631">
        <v>3</v>
      </c>
    </row>
    <row r="9" spans="1:11" ht="15.75" customHeight="1">
      <c r="A9" s="630">
        <v>45958</v>
      </c>
      <c r="B9" s="340">
        <v>20252222</v>
      </c>
      <c r="C9" s="340" t="s">
        <v>349</v>
      </c>
      <c r="D9" s="342">
        <v>56</v>
      </c>
      <c r="E9" s="342">
        <f t="shared" si="0"/>
        <v>168</v>
      </c>
      <c r="F9" s="342"/>
      <c r="G9" s="344"/>
      <c r="H9" s="344"/>
      <c r="J9" s="631" t="s">
        <v>351</v>
      </c>
      <c r="K9" s="631">
        <v>6</v>
      </c>
    </row>
    <row r="10" spans="1:11" ht="15.75" customHeight="1">
      <c r="A10" s="630">
        <v>45958</v>
      </c>
      <c r="B10" s="340">
        <v>20252222</v>
      </c>
      <c r="C10" s="340" t="s">
        <v>350</v>
      </c>
      <c r="D10" s="342">
        <v>44</v>
      </c>
      <c r="E10" s="342">
        <f t="shared" si="0"/>
        <v>132</v>
      </c>
      <c r="F10" s="342"/>
      <c r="G10" s="344"/>
      <c r="H10" s="344"/>
      <c r="J10" s="631" t="s">
        <v>352</v>
      </c>
      <c r="K10" s="631">
        <v>3</v>
      </c>
    </row>
    <row r="11" spans="1:11" ht="15.75" customHeight="1">
      <c r="A11" s="630">
        <v>45985</v>
      </c>
      <c r="B11" s="340">
        <v>20252460</v>
      </c>
      <c r="C11" s="340" t="s">
        <v>350</v>
      </c>
      <c r="D11" s="342">
        <v>96</v>
      </c>
      <c r="E11" s="342">
        <f t="shared" si="0"/>
        <v>288</v>
      </c>
      <c r="F11" s="342"/>
      <c r="G11" s="344"/>
      <c r="H11" s="344"/>
      <c r="J11" s="631" t="s">
        <v>353</v>
      </c>
      <c r="K11" s="631">
        <v>10</v>
      </c>
    </row>
    <row r="12" spans="1:11" ht="15.75" customHeight="1">
      <c r="A12" s="630">
        <v>45958</v>
      </c>
      <c r="B12" s="340">
        <v>20252222</v>
      </c>
      <c r="C12" s="340" t="s">
        <v>351</v>
      </c>
      <c r="D12" s="342">
        <v>16</v>
      </c>
      <c r="E12" s="342">
        <f t="shared" si="0"/>
        <v>96</v>
      </c>
      <c r="F12" s="342"/>
      <c r="G12" s="344"/>
      <c r="H12" s="344"/>
      <c r="J12" s="631" t="s">
        <v>354</v>
      </c>
      <c r="K12" s="631">
        <v>12</v>
      </c>
    </row>
    <row r="13" spans="1:11" ht="15.75" customHeight="1">
      <c r="A13" s="630">
        <v>45958</v>
      </c>
      <c r="B13" s="340">
        <v>20252222</v>
      </c>
      <c r="C13" s="340" t="s">
        <v>352</v>
      </c>
      <c r="D13" s="342">
        <v>23</v>
      </c>
      <c r="E13" s="342">
        <f t="shared" si="0"/>
        <v>69</v>
      </c>
      <c r="F13" s="342"/>
      <c r="G13" s="344"/>
      <c r="H13" s="344"/>
      <c r="J13" s="631" t="s">
        <v>355</v>
      </c>
      <c r="K13" s="631">
        <v>12</v>
      </c>
    </row>
    <row r="14" spans="1:11" ht="15.75" customHeight="1">
      <c r="A14" s="630">
        <v>45958</v>
      </c>
      <c r="B14" s="340">
        <v>20252222</v>
      </c>
      <c r="C14" s="340" t="s">
        <v>353</v>
      </c>
      <c r="D14" s="342">
        <v>661</v>
      </c>
      <c r="E14" s="342">
        <f t="shared" si="0"/>
        <v>6610</v>
      </c>
      <c r="F14" s="342"/>
      <c r="G14" s="344"/>
      <c r="H14" s="344"/>
      <c r="J14" s="631" t="s">
        <v>356</v>
      </c>
      <c r="K14" s="631">
        <v>12</v>
      </c>
    </row>
    <row r="15" spans="1:11" ht="15.75" customHeight="1">
      <c r="A15" s="630">
        <v>45958</v>
      </c>
      <c r="B15" s="340">
        <v>20252217</v>
      </c>
      <c r="C15" s="340" t="s">
        <v>354</v>
      </c>
      <c r="D15" s="342">
        <v>288</v>
      </c>
      <c r="E15" s="342">
        <f t="shared" si="0"/>
        <v>3456</v>
      </c>
      <c r="F15" s="342"/>
      <c r="G15" s="344"/>
      <c r="H15" s="344"/>
      <c r="J15" s="631" t="s">
        <v>357</v>
      </c>
      <c r="K15" s="631">
        <v>6</v>
      </c>
    </row>
    <row r="16" spans="1:11" ht="15.75" customHeight="1">
      <c r="A16" s="630">
        <v>45971</v>
      </c>
      <c r="B16" s="340">
        <v>20252328</v>
      </c>
      <c r="C16" s="340" t="s">
        <v>355</v>
      </c>
      <c r="D16" s="342">
        <v>220</v>
      </c>
      <c r="E16" s="342">
        <f t="shared" si="0"/>
        <v>2640</v>
      </c>
      <c r="F16" s="342"/>
      <c r="G16" s="344"/>
      <c r="H16" s="344"/>
      <c r="J16" s="631" t="s">
        <v>358</v>
      </c>
      <c r="K16" s="631">
        <v>3</v>
      </c>
    </row>
    <row r="17" spans="1:11" ht="15.75" customHeight="1">
      <c r="A17" s="630">
        <v>45971</v>
      </c>
      <c r="B17" s="340">
        <v>20252328</v>
      </c>
      <c r="C17" s="340" t="s">
        <v>355</v>
      </c>
      <c r="D17" s="342">
        <v>720</v>
      </c>
      <c r="E17" s="342">
        <f t="shared" si="0"/>
        <v>8640</v>
      </c>
      <c r="F17" s="342"/>
      <c r="G17" s="344"/>
      <c r="H17" s="344"/>
      <c r="J17" s="631" t="s">
        <v>359</v>
      </c>
      <c r="K17" s="631">
        <v>3</v>
      </c>
    </row>
    <row r="18" spans="1:11" ht="15.75" customHeight="1">
      <c r="A18" s="630">
        <v>45985</v>
      </c>
      <c r="B18" s="340">
        <v>20252460</v>
      </c>
      <c r="C18" s="340" t="s">
        <v>355</v>
      </c>
      <c r="D18" s="342">
        <v>14</v>
      </c>
      <c r="E18" s="342">
        <f t="shared" si="0"/>
        <v>168</v>
      </c>
      <c r="F18" s="342"/>
      <c r="G18" s="344"/>
      <c r="H18" s="344"/>
    </row>
    <row r="19" spans="1:11" ht="15.75" customHeight="1">
      <c r="A19" s="630">
        <v>45985</v>
      </c>
      <c r="B19" s="340">
        <v>20252460</v>
      </c>
      <c r="C19" s="340" t="s">
        <v>353</v>
      </c>
      <c r="D19" s="342">
        <v>74</v>
      </c>
      <c r="E19" s="342">
        <f t="shared" si="0"/>
        <v>740</v>
      </c>
      <c r="F19" s="342"/>
      <c r="G19" s="344"/>
      <c r="H19" s="344"/>
    </row>
    <row r="20" spans="1:11" ht="15.75" customHeight="1">
      <c r="A20" s="630">
        <v>45992</v>
      </c>
      <c r="B20" s="340">
        <v>20252539</v>
      </c>
      <c r="C20" s="340" t="s">
        <v>356</v>
      </c>
      <c r="D20" s="342">
        <v>4</v>
      </c>
      <c r="E20" s="342">
        <f t="shared" si="0"/>
        <v>48</v>
      </c>
      <c r="F20" s="342"/>
      <c r="G20" s="344"/>
      <c r="H20" s="344"/>
    </row>
    <row r="21" spans="1:11" ht="15.75" customHeight="1">
      <c r="A21" s="630">
        <v>45985</v>
      </c>
      <c r="B21" s="340">
        <v>20252460</v>
      </c>
      <c r="C21" s="340" t="s">
        <v>357</v>
      </c>
      <c r="D21" s="342">
        <v>756</v>
      </c>
      <c r="E21" s="342">
        <f t="shared" si="0"/>
        <v>4536</v>
      </c>
      <c r="F21" s="342"/>
      <c r="G21" s="344"/>
      <c r="H21" s="344"/>
    </row>
    <row r="22" spans="1:11" ht="15.75" customHeight="1">
      <c r="A22" s="630">
        <v>45985</v>
      </c>
      <c r="B22" s="340">
        <v>20252460</v>
      </c>
      <c r="C22" s="340" t="s">
        <v>347</v>
      </c>
      <c r="D22" s="342">
        <v>11</v>
      </c>
      <c r="E22" s="342">
        <f t="shared" si="0"/>
        <v>66</v>
      </c>
      <c r="F22" s="342"/>
      <c r="G22" s="344"/>
      <c r="H22" s="344"/>
    </row>
    <row r="23" spans="1:11" ht="15.75" customHeight="1">
      <c r="A23" s="630">
        <v>45985</v>
      </c>
      <c r="B23" s="340">
        <v>20252460</v>
      </c>
      <c r="C23" s="340" t="s">
        <v>350</v>
      </c>
      <c r="D23" s="342">
        <v>20</v>
      </c>
      <c r="E23" s="342">
        <f t="shared" si="0"/>
        <v>60</v>
      </c>
      <c r="F23" s="342"/>
      <c r="G23" s="344"/>
      <c r="H23" s="344"/>
    </row>
    <row r="24" spans="1:11" ht="15.75" customHeight="1">
      <c r="A24" s="630">
        <v>45985</v>
      </c>
      <c r="B24" s="340">
        <v>20252460</v>
      </c>
      <c r="C24" s="340" t="s">
        <v>358</v>
      </c>
      <c r="D24" s="342">
        <v>20</v>
      </c>
      <c r="E24" s="342">
        <f t="shared" si="0"/>
        <v>60</v>
      </c>
      <c r="F24" s="342"/>
      <c r="G24" s="344"/>
      <c r="H24" s="344"/>
    </row>
    <row r="25" spans="1:11" ht="15.75" customHeight="1">
      <c r="A25" s="630">
        <v>45985</v>
      </c>
      <c r="B25" s="340">
        <v>20252460</v>
      </c>
      <c r="C25" s="340" t="s">
        <v>351</v>
      </c>
      <c r="D25" s="342">
        <v>54</v>
      </c>
      <c r="E25" s="342">
        <f t="shared" si="0"/>
        <v>324</v>
      </c>
      <c r="F25" s="342"/>
      <c r="G25" s="344"/>
      <c r="H25" s="344"/>
    </row>
    <row r="26" spans="1:11" ht="15.75" customHeight="1">
      <c r="A26" s="630">
        <v>45985</v>
      </c>
      <c r="B26" s="340">
        <v>20252460</v>
      </c>
      <c r="C26" s="340" t="s">
        <v>350</v>
      </c>
      <c r="D26" s="342">
        <v>20</v>
      </c>
      <c r="E26" s="342">
        <f t="shared" si="0"/>
        <v>60</v>
      </c>
      <c r="F26" s="342"/>
      <c r="G26" s="344"/>
      <c r="H26" s="344"/>
    </row>
    <row r="27" spans="1:11" ht="15.75" customHeight="1">
      <c r="A27" s="630">
        <v>45985</v>
      </c>
      <c r="B27" s="340">
        <v>20252460</v>
      </c>
      <c r="C27" s="340" t="s">
        <v>358</v>
      </c>
      <c r="D27" s="342">
        <v>20</v>
      </c>
      <c r="E27" s="342">
        <f t="shared" si="0"/>
        <v>60</v>
      </c>
      <c r="F27" s="342"/>
      <c r="G27" s="344"/>
      <c r="H27" s="344"/>
    </row>
    <row r="28" spans="1:11" ht="15.75" customHeight="1">
      <c r="A28" s="630">
        <v>45985</v>
      </c>
      <c r="B28" s="340">
        <v>20252460</v>
      </c>
      <c r="C28" s="340" t="s">
        <v>351</v>
      </c>
      <c r="D28" s="342">
        <v>54</v>
      </c>
      <c r="E28" s="342">
        <f t="shared" si="0"/>
        <v>324</v>
      </c>
      <c r="F28" s="342"/>
      <c r="G28" s="344"/>
      <c r="H28" s="344"/>
    </row>
    <row r="29" spans="1:11" ht="15.75" customHeight="1">
      <c r="A29" s="630">
        <v>45985</v>
      </c>
      <c r="B29" s="340">
        <v>20252460</v>
      </c>
      <c r="C29" s="340" t="s">
        <v>359</v>
      </c>
      <c r="D29" s="342">
        <v>23</v>
      </c>
      <c r="E29" s="342">
        <f t="shared" si="0"/>
        <v>69</v>
      </c>
      <c r="F29" s="342"/>
      <c r="G29" s="344"/>
      <c r="H29" s="344"/>
    </row>
    <row r="30" spans="1:11" ht="15.75" customHeight="1">
      <c r="A30" s="630">
        <v>45985</v>
      </c>
      <c r="B30" s="340">
        <v>20252459</v>
      </c>
      <c r="C30" s="340" t="s">
        <v>354</v>
      </c>
      <c r="D30" s="342">
        <v>72</v>
      </c>
      <c r="E30" s="342">
        <f t="shared" si="0"/>
        <v>864</v>
      </c>
      <c r="F30" s="342"/>
      <c r="G30" s="344"/>
      <c r="H30" s="344"/>
    </row>
    <row r="31" spans="1:11" ht="15.75" customHeight="1">
      <c r="A31" s="630">
        <v>45992</v>
      </c>
      <c r="B31" s="340">
        <v>20252539</v>
      </c>
      <c r="C31" s="340" t="s">
        <v>357</v>
      </c>
      <c r="D31" s="342">
        <v>432</v>
      </c>
      <c r="E31" s="342">
        <f t="shared" si="0"/>
        <v>2592</v>
      </c>
      <c r="F31" s="342"/>
      <c r="G31" s="344"/>
      <c r="H31" s="344"/>
    </row>
    <row r="32" spans="1:11" ht="15.75" customHeight="1">
      <c r="A32" s="340"/>
      <c r="B32" s="340"/>
      <c r="C32" s="340" t="s">
        <v>357</v>
      </c>
      <c r="D32" s="342">
        <v>432</v>
      </c>
      <c r="E32" s="342">
        <f t="shared" si="0"/>
        <v>2592</v>
      </c>
      <c r="F32" s="342"/>
      <c r="G32" s="344"/>
      <c r="H32" s="344"/>
    </row>
    <row r="33" spans="1:8" ht="15.75" customHeight="1">
      <c r="A33" s="340"/>
      <c r="B33" s="340"/>
      <c r="C33" s="340" t="s">
        <v>117</v>
      </c>
      <c r="D33" s="342">
        <v>1000</v>
      </c>
      <c r="E33" s="342">
        <f t="shared" si="0"/>
        <v>12000</v>
      </c>
      <c r="F33" s="342"/>
      <c r="G33" s="344"/>
      <c r="H33" s="344"/>
    </row>
    <row r="34" spans="1:8" ht="15.75" customHeight="1">
      <c r="A34" s="340"/>
      <c r="B34" s="340"/>
      <c r="C34" s="340" t="s">
        <v>347</v>
      </c>
      <c r="D34" s="342">
        <v>10</v>
      </c>
      <c r="E34" s="342">
        <f t="shared" si="0"/>
        <v>60</v>
      </c>
      <c r="F34" s="342"/>
      <c r="G34" s="344"/>
      <c r="H34" s="344"/>
    </row>
    <row r="35" spans="1:8" ht="15.75" customHeight="1">
      <c r="A35" s="340"/>
      <c r="B35" s="340"/>
      <c r="C35" s="340" t="s">
        <v>348</v>
      </c>
      <c r="D35" s="342">
        <v>30</v>
      </c>
      <c r="E35" s="342">
        <f t="shared" si="0"/>
        <v>180</v>
      </c>
      <c r="F35" s="342"/>
      <c r="G35" s="344"/>
      <c r="H35" s="344"/>
    </row>
    <row r="36" spans="1:8" ht="15.75" customHeight="1">
      <c r="A36" s="340"/>
      <c r="B36" s="340"/>
      <c r="C36" s="340" t="s">
        <v>350</v>
      </c>
      <c r="D36" s="342">
        <v>30</v>
      </c>
      <c r="E36" s="342">
        <f t="shared" si="0"/>
        <v>90</v>
      </c>
      <c r="F36" s="342"/>
      <c r="G36" s="344"/>
      <c r="H36" s="344"/>
    </row>
    <row r="37" spans="1:8" ht="12.75">
      <c r="A37" s="340"/>
      <c r="B37" s="340"/>
      <c r="C37" s="340" t="s">
        <v>358</v>
      </c>
      <c r="D37" s="342">
        <v>40</v>
      </c>
      <c r="E37" s="342">
        <f t="shared" si="0"/>
        <v>120</v>
      </c>
      <c r="F37" s="342"/>
      <c r="G37" s="344"/>
      <c r="H37" s="344"/>
    </row>
    <row r="38" spans="1:8" ht="12.75">
      <c r="A38" s="340"/>
      <c r="B38" s="340"/>
      <c r="C38" s="340" t="s">
        <v>351</v>
      </c>
      <c r="D38" s="342">
        <v>60</v>
      </c>
      <c r="E38" s="342">
        <f t="shared" si="0"/>
        <v>360</v>
      </c>
      <c r="F38" s="342"/>
      <c r="G38" s="344"/>
      <c r="H38" s="344"/>
    </row>
    <row r="39" spans="1:8" ht="12.75">
      <c r="A39" s="340"/>
      <c r="B39" s="340"/>
      <c r="C39" s="340" t="s">
        <v>359</v>
      </c>
      <c r="D39" s="342">
        <v>45</v>
      </c>
      <c r="E39" s="342">
        <f t="shared" si="0"/>
        <v>135</v>
      </c>
      <c r="F39" s="342"/>
      <c r="G39" s="344"/>
      <c r="H39" s="344"/>
    </row>
    <row r="40" spans="1:8" ht="12.75">
      <c r="A40" s="340"/>
      <c r="B40" s="340"/>
      <c r="C40" s="340" t="s">
        <v>352</v>
      </c>
      <c r="D40" s="342">
        <v>23</v>
      </c>
      <c r="E40" s="342">
        <f t="shared" si="0"/>
        <v>69</v>
      </c>
      <c r="F40" s="342"/>
      <c r="G40" s="344"/>
      <c r="H40" s="344"/>
    </row>
    <row r="41" spans="1:8" ht="12.75">
      <c r="A41" s="340"/>
      <c r="B41" s="340"/>
      <c r="C41" s="340" t="s">
        <v>349</v>
      </c>
      <c r="D41" s="342">
        <v>20</v>
      </c>
      <c r="E41" s="342">
        <f t="shared" si="0"/>
        <v>60</v>
      </c>
      <c r="F41" s="342"/>
      <c r="G41" s="344"/>
      <c r="H41" s="344"/>
    </row>
    <row r="42" spans="1:8" ht="12.75">
      <c r="A42" s="340"/>
      <c r="B42" s="340"/>
      <c r="C42" s="340" t="s">
        <v>356</v>
      </c>
      <c r="D42" s="342">
        <v>11</v>
      </c>
      <c r="E42" s="342">
        <f t="shared" si="0"/>
        <v>132</v>
      </c>
      <c r="F42" s="342"/>
      <c r="G42" s="344"/>
      <c r="H42" s="344"/>
    </row>
    <row r="43" spans="1:8" ht="12.75">
      <c r="A43" s="340"/>
      <c r="B43" s="340"/>
      <c r="C43" s="340" t="s">
        <v>346</v>
      </c>
      <c r="D43" s="342">
        <v>20</v>
      </c>
      <c r="E43" s="342">
        <f t="shared" si="0"/>
        <v>120</v>
      </c>
      <c r="F43" s="342"/>
      <c r="G43" s="344"/>
      <c r="H43" s="344"/>
    </row>
    <row r="44" spans="1:8" ht="12.75">
      <c r="A44" s="340"/>
      <c r="B44" s="340"/>
      <c r="C44" s="340" t="s">
        <v>345</v>
      </c>
      <c r="D44" s="342">
        <v>15</v>
      </c>
      <c r="E44" s="342">
        <f t="shared" si="0"/>
        <v>90</v>
      </c>
      <c r="F44" s="342"/>
      <c r="G44" s="344"/>
      <c r="H44" s="344"/>
    </row>
    <row r="45" spans="1:8" ht="12.75">
      <c r="A45" s="340"/>
      <c r="B45" s="340"/>
      <c r="C45" s="340" t="s">
        <v>354</v>
      </c>
      <c r="D45" s="342">
        <v>144</v>
      </c>
      <c r="E45" s="342">
        <f t="shared" si="0"/>
        <v>1728</v>
      </c>
      <c r="F45" s="342"/>
      <c r="G45" s="344"/>
      <c r="H45" s="344"/>
    </row>
    <row r="46" spans="1:8" ht="12.75">
      <c r="A46" s="340"/>
      <c r="B46" s="340"/>
      <c r="C46" s="340" t="s">
        <v>357</v>
      </c>
      <c r="D46" s="342">
        <v>324</v>
      </c>
      <c r="E46" s="342">
        <f t="shared" si="0"/>
        <v>1944</v>
      </c>
      <c r="F46" s="342"/>
      <c r="G46" s="344"/>
      <c r="H46" s="344"/>
    </row>
    <row r="47" spans="1:8" ht="12.75">
      <c r="A47" s="340"/>
      <c r="B47" s="340"/>
      <c r="C47" s="340" t="s">
        <v>359</v>
      </c>
      <c r="D47" s="342">
        <v>55</v>
      </c>
      <c r="E47" s="342">
        <f t="shared" si="0"/>
        <v>165</v>
      </c>
      <c r="F47" s="342"/>
      <c r="G47" s="344"/>
      <c r="H47" s="344"/>
    </row>
    <row r="48" spans="1:8" ht="12.75">
      <c r="A48" s="340"/>
      <c r="B48" s="340"/>
      <c r="C48" s="340" t="s">
        <v>352</v>
      </c>
      <c r="D48" s="342">
        <v>53</v>
      </c>
      <c r="E48" s="342">
        <f t="shared" si="0"/>
        <v>159</v>
      </c>
      <c r="F48" s="342"/>
      <c r="G48" s="344"/>
      <c r="H48" s="344"/>
    </row>
    <row r="49" spans="1:8" ht="12.75">
      <c r="A49" s="340"/>
      <c r="B49" s="340"/>
      <c r="C49" s="340" t="s">
        <v>350</v>
      </c>
      <c r="D49" s="342">
        <v>245</v>
      </c>
      <c r="E49" s="342">
        <f t="shared" si="0"/>
        <v>735</v>
      </c>
      <c r="F49" s="342"/>
      <c r="G49" s="344"/>
      <c r="H49" s="344"/>
    </row>
    <row r="50" spans="1:8" ht="12.75">
      <c r="A50" s="340"/>
      <c r="B50" s="340"/>
      <c r="C50" s="340" t="s">
        <v>348</v>
      </c>
      <c r="D50" s="342">
        <v>55</v>
      </c>
      <c r="E50" s="342">
        <f t="shared" si="0"/>
        <v>330</v>
      </c>
      <c r="F50" s="342"/>
      <c r="G50" s="344"/>
      <c r="H50" s="344"/>
    </row>
    <row r="51" spans="1:8" ht="12.75">
      <c r="A51" s="340"/>
      <c r="B51" s="340"/>
      <c r="C51" s="340" t="s">
        <v>351</v>
      </c>
      <c r="D51" s="342">
        <v>40</v>
      </c>
      <c r="E51" s="342">
        <f t="shared" si="0"/>
        <v>240</v>
      </c>
      <c r="F51" s="342"/>
      <c r="G51" s="344"/>
      <c r="H51" s="344"/>
    </row>
    <row r="52" spans="1:8" ht="12.75">
      <c r="A52" s="340"/>
      <c r="B52" s="340"/>
      <c r="C52" s="340" t="s">
        <v>349</v>
      </c>
      <c r="D52" s="342">
        <v>46</v>
      </c>
      <c r="E52" s="342">
        <f t="shared" si="0"/>
        <v>138</v>
      </c>
      <c r="F52" s="342"/>
      <c r="G52" s="344"/>
      <c r="H52" s="344"/>
    </row>
    <row r="53" spans="1:8" ht="12.75">
      <c r="A53" s="340"/>
      <c r="B53" s="340"/>
      <c r="C53" s="340" t="s">
        <v>347</v>
      </c>
      <c r="D53" s="342">
        <v>22</v>
      </c>
      <c r="E53" s="342">
        <f t="shared" si="0"/>
        <v>132</v>
      </c>
      <c r="F53" s="342"/>
      <c r="G53" s="344"/>
      <c r="H53" s="344"/>
    </row>
    <row r="54" spans="1:8" ht="12.75">
      <c r="A54" s="340"/>
      <c r="B54" s="340"/>
      <c r="C54" s="340" t="s">
        <v>353</v>
      </c>
      <c r="D54" s="342">
        <v>331</v>
      </c>
      <c r="E54" s="342">
        <f t="shared" si="0"/>
        <v>3310</v>
      </c>
      <c r="F54" s="342"/>
      <c r="G54" s="344"/>
      <c r="H54" s="344"/>
    </row>
    <row r="55" spans="1:8" ht="12.75">
      <c r="A55" s="340"/>
      <c r="B55" s="340"/>
      <c r="C55" s="340" t="s">
        <v>358</v>
      </c>
      <c r="D55" s="342">
        <v>68</v>
      </c>
      <c r="E55" s="342">
        <f t="shared" si="0"/>
        <v>204</v>
      </c>
      <c r="F55" s="342"/>
      <c r="G55" s="344"/>
      <c r="H55" s="344"/>
    </row>
    <row r="56" spans="1:8" ht="12.75">
      <c r="A56" s="340"/>
      <c r="B56" s="340"/>
      <c r="C56" s="340" t="s">
        <v>356</v>
      </c>
      <c r="D56" s="342">
        <v>7</v>
      </c>
      <c r="E56" s="342">
        <f t="shared" si="0"/>
        <v>84</v>
      </c>
      <c r="F56" s="342"/>
      <c r="G56" s="344"/>
      <c r="H56" s="344"/>
    </row>
    <row r="57" spans="1:8" ht="12.75">
      <c r="A57" s="340"/>
      <c r="B57" s="340"/>
      <c r="C57" s="340" t="s">
        <v>346</v>
      </c>
      <c r="D57" s="342">
        <v>16</v>
      </c>
      <c r="E57" s="342">
        <f t="shared" si="0"/>
        <v>96</v>
      </c>
      <c r="F57" s="342"/>
      <c r="G57" s="344"/>
      <c r="H57" s="344"/>
    </row>
    <row r="58" spans="1:8" ht="12.75">
      <c r="A58" s="340"/>
      <c r="B58" s="340"/>
      <c r="C58" s="340" t="s">
        <v>345</v>
      </c>
      <c r="D58" s="342">
        <v>24</v>
      </c>
      <c r="E58" s="342">
        <f t="shared" si="0"/>
        <v>144</v>
      </c>
      <c r="F58" s="342"/>
      <c r="G58" s="344"/>
      <c r="H58" s="344"/>
    </row>
    <row r="59" spans="1:8" ht="12.75">
      <c r="A59" s="340"/>
      <c r="B59" s="340"/>
      <c r="C59" s="340" t="s">
        <v>354</v>
      </c>
      <c r="D59" s="342">
        <v>200</v>
      </c>
      <c r="E59" s="342">
        <f t="shared" si="0"/>
        <v>2400</v>
      </c>
      <c r="F59" s="342"/>
      <c r="G59" s="344"/>
      <c r="H59" s="344"/>
    </row>
    <row r="60" spans="1:8" ht="12.75">
      <c r="A60" s="340"/>
      <c r="B60" s="340"/>
      <c r="C60" s="340" t="s">
        <v>117</v>
      </c>
      <c r="D60" s="342">
        <v>1000</v>
      </c>
      <c r="E60" s="342">
        <f t="shared" si="0"/>
        <v>12000</v>
      </c>
      <c r="F60" s="342"/>
      <c r="G60" s="344"/>
      <c r="H60" s="344"/>
    </row>
    <row r="61" spans="1:8" ht="12.75">
      <c r="A61" s="340"/>
      <c r="B61" s="340"/>
      <c r="C61" s="340" t="s">
        <v>355</v>
      </c>
      <c r="D61" s="342">
        <v>1008</v>
      </c>
      <c r="E61" s="342">
        <f t="shared" si="0"/>
        <v>12096</v>
      </c>
      <c r="F61" s="342"/>
      <c r="G61" s="344"/>
      <c r="H61" s="344"/>
    </row>
    <row r="62" spans="1:8" ht="12.75">
      <c r="A62" s="340"/>
      <c r="B62" s="340"/>
      <c r="C62" s="340" t="s">
        <v>351</v>
      </c>
      <c r="D62" s="342">
        <v>50</v>
      </c>
      <c r="E62" s="342">
        <f t="shared" si="0"/>
        <v>300</v>
      </c>
      <c r="F62" s="342"/>
      <c r="G62" s="344"/>
      <c r="H62" s="344"/>
    </row>
    <row r="63" spans="1:8" ht="12.75">
      <c r="A63" s="340"/>
      <c r="B63" s="340"/>
      <c r="C63" s="340" t="s">
        <v>353</v>
      </c>
      <c r="D63" s="342">
        <v>331</v>
      </c>
      <c r="E63" s="342">
        <f t="shared" si="0"/>
        <v>3310</v>
      </c>
      <c r="F63" s="342"/>
      <c r="G63" s="344"/>
      <c r="H63" s="344"/>
    </row>
    <row r="64" spans="1:8" ht="12.75">
      <c r="A64" s="635"/>
      <c r="B64" s="635"/>
      <c r="C64" s="635"/>
      <c r="D64" s="636"/>
      <c r="E64" s="636"/>
      <c r="F64" s="637"/>
      <c r="G64" s="637"/>
      <c r="H64" s="637"/>
    </row>
    <row r="65" spans="1:8" ht="12.75">
      <c r="A65" s="635"/>
      <c r="B65" s="635"/>
      <c r="C65" s="635"/>
      <c r="D65" s="636"/>
      <c r="E65" s="636"/>
      <c r="F65" s="637"/>
      <c r="G65" s="637"/>
      <c r="H65" s="637"/>
    </row>
    <row r="66" spans="1:8" ht="12.75">
      <c r="A66" s="635"/>
      <c r="B66" s="635"/>
      <c r="C66" s="635"/>
      <c r="D66" s="636"/>
      <c r="E66" s="636"/>
      <c r="F66" s="637"/>
      <c r="G66" s="637"/>
      <c r="H66" s="637"/>
    </row>
    <row r="67" spans="1:8" ht="12.75">
      <c r="A67" s="635"/>
      <c r="B67" s="635"/>
      <c r="C67" s="635"/>
      <c r="D67" s="636"/>
      <c r="E67" s="636"/>
      <c r="F67" s="637"/>
      <c r="G67" s="637"/>
      <c r="H67" s="637"/>
    </row>
    <row r="68" spans="1:8" ht="12.75">
      <c r="A68" s="635"/>
      <c r="B68" s="635"/>
      <c r="C68" s="635"/>
      <c r="D68" s="636"/>
      <c r="E68" s="636"/>
      <c r="F68" s="637"/>
      <c r="G68" s="637"/>
      <c r="H68" s="637"/>
    </row>
    <row r="69" spans="1:8" ht="12.75">
      <c r="A69" s="635"/>
      <c r="B69" s="635"/>
      <c r="C69" s="635"/>
      <c r="D69" s="636"/>
      <c r="E69" s="636"/>
      <c r="F69" s="637"/>
      <c r="G69" s="637"/>
      <c r="H69" s="637"/>
    </row>
    <row r="70" spans="1:8" ht="12.75">
      <c r="A70" s="635"/>
      <c r="B70" s="635"/>
      <c r="C70" s="635"/>
      <c r="D70" s="636"/>
      <c r="E70" s="636"/>
      <c r="F70" s="637"/>
      <c r="G70" s="637"/>
      <c r="H70" s="637"/>
    </row>
    <row r="71" spans="1:8" ht="12.75">
      <c r="A71" s="635"/>
      <c r="B71" s="635"/>
      <c r="C71" s="635"/>
      <c r="D71" s="636"/>
      <c r="E71" s="636"/>
      <c r="F71" s="637"/>
      <c r="G71" s="637"/>
      <c r="H71" s="637"/>
    </row>
    <row r="72" spans="1:8" ht="12.75">
      <c r="A72" s="635"/>
      <c r="B72" s="635"/>
      <c r="C72" s="635"/>
      <c r="D72" s="636"/>
      <c r="E72" s="636"/>
      <c r="F72" s="637"/>
      <c r="G72" s="637"/>
      <c r="H72" s="637"/>
    </row>
    <row r="73" spans="1:8" ht="12.75">
      <c r="A73" s="635"/>
      <c r="B73" s="635"/>
      <c r="C73" s="635"/>
      <c r="D73" s="636"/>
      <c r="E73" s="636"/>
      <c r="F73" s="637"/>
      <c r="G73" s="637"/>
      <c r="H73" s="637"/>
    </row>
  </sheetData>
  <autoFilter ref="A1:H63" xr:uid="{00000000-0009-0000-0000-000013000000}"/>
  <phoneticPr fontId="8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6D7A8"/>
    <outlinePr summaryBelow="0" summaryRight="0"/>
  </sheetPr>
  <dimension ref="A1:I23"/>
  <sheetViews>
    <sheetView workbookViewId="0"/>
  </sheetViews>
  <sheetFormatPr defaultColWidth="14.42578125" defaultRowHeight="15.75" customHeight="1"/>
  <cols>
    <col min="2" max="2" width="43" customWidth="1"/>
    <col min="7" max="7" width="37" customWidth="1"/>
  </cols>
  <sheetData>
    <row r="1" spans="1:9" ht="15.75" customHeight="1">
      <c r="C1" s="632"/>
    </row>
    <row r="2" spans="1:9" ht="15.75" customHeight="1">
      <c r="A2" s="598">
        <v>46058</v>
      </c>
      <c r="C2" s="632"/>
      <c r="D2" s="632"/>
    </row>
    <row r="3" spans="1:9" ht="15.75" customHeight="1">
      <c r="A3" s="633" t="s">
        <v>360</v>
      </c>
      <c r="B3" s="633" t="s">
        <v>361</v>
      </c>
      <c r="C3" s="633" t="s">
        <v>121</v>
      </c>
      <c r="D3" s="633" t="s">
        <v>46</v>
      </c>
      <c r="E3" s="633" t="s">
        <v>48</v>
      </c>
    </row>
    <row r="4" spans="1:9" ht="15.75" customHeight="1">
      <c r="A4" s="631">
        <v>117547</v>
      </c>
      <c r="B4" s="631" t="s">
        <v>362</v>
      </c>
      <c r="C4" s="572">
        <v>0</v>
      </c>
      <c r="D4" s="572"/>
      <c r="E4" s="572"/>
      <c r="F4" s="118">
        <f t="shared" ref="F4:F19" si="0">SUM(C4:E4)</f>
        <v>0</v>
      </c>
    </row>
    <row r="5" spans="1:9" ht="15.75" customHeight="1">
      <c r="A5" s="631">
        <v>552897</v>
      </c>
      <c r="B5" s="631" t="s">
        <v>363</v>
      </c>
      <c r="C5" s="572">
        <v>6731</v>
      </c>
      <c r="D5" s="572"/>
      <c r="E5" s="572"/>
      <c r="F5" s="118">
        <f t="shared" si="0"/>
        <v>6731</v>
      </c>
      <c r="I5" s="118"/>
    </row>
    <row r="6" spans="1:9" ht="15.75" customHeight="1">
      <c r="A6" s="631">
        <v>117771</v>
      </c>
      <c r="B6" s="631" t="s">
        <v>364</v>
      </c>
      <c r="C6" s="572">
        <v>168</v>
      </c>
      <c r="D6" s="572"/>
      <c r="E6" s="572"/>
      <c r="F6" s="118">
        <f t="shared" si="0"/>
        <v>168</v>
      </c>
      <c r="I6" s="118"/>
    </row>
    <row r="7" spans="1:9" ht="15.75" customHeight="1">
      <c r="A7" s="631">
        <v>646546</v>
      </c>
      <c r="B7" s="631" t="s">
        <v>365</v>
      </c>
      <c r="C7" s="572">
        <v>67</v>
      </c>
      <c r="D7" s="572"/>
      <c r="E7" s="572"/>
      <c r="F7" s="118">
        <f t="shared" si="0"/>
        <v>67</v>
      </c>
    </row>
    <row r="8" spans="1:9" ht="15.75" customHeight="1">
      <c r="A8" s="631">
        <v>646567</v>
      </c>
      <c r="B8" s="631" t="s">
        <v>366</v>
      </c>
      <c r="C8" s="572">
        <v>50</v>
      </c>
      <c r="D8" s="572"/>
      <c r="E8" s="572"/>
      <c r="F8" s="118">
        <f t="shared" si="0"/>
        <v>50</v>
      </c>
    </row>
    <row r="9" spans="1:9" ht="15.75" customHeight="1">
      <c r="A9" s="631">
        <v>691217</v>
      </c>
      <c r="B9" s="631" t="s">
        <v>367</v>
      </c>
      <c r="C9" s="572">
        <v>0</v>
      </c>
      <c r="D9" s="572"/>
      <c r="E9" s="572"/>
      <c r="F9" s="118">
        <f t="shared" si="0"/>
        <v>0</v>
      </c>
    </row>
    <row r="10" spans="1:9" ht="15.75" customHeight="1">
      <c r="A10" s="631">
        <v>611174</v>
      </c>
      <c r="B10" s="631" t="s">
        <v>368</v>
      </c>
      <c r="C10" s="572">
        <v>0</v>
      </c>
      <c r="D10" s="572"/>
      <c r="E10" s="572"/>
      <c r="F10" s="118">
        <f t="shared" si="0"/>
        <v>0</v>
      </c>
    </row>
    <row r="11" spans="1:9" ht="15.75" customHeight="1">
      <c r="A11" s="631">
        <v>701775</v>
      </c>
      <c r="B11" s="631" t="s">
        <v>369</v>
      </c>
      <c r="C11" s="572">
        <v>2007</v>
      </c>
      <c r="D11" s="631">
        <v>140</v>
      </c>
      <c r="E11" s="572">
        <v>221</v>
      </c>
      <c r="F11" s="118">
        <f t="shared" si="0"/>
        <v>2368</v>
      </c>
    </row>
    <row r="12" spans="1:9" ht="15.75" customHeight="1">
      <c r="A12" s="631">
        <v>646548</v>
      </c>
      <c r="B12" s="631" t="s">
        <v>370</v>
      </c>
      <c r="C12" s="572">
        <v>18</v>
      </c>
      <c r="D12" s="572"/>
      <c r="E12" s="572"/>
      <c r="F12" s="118">
        <f t="shared" si="0"/>
        <v>18</v>
      </c>
    </row>
    <row r="13" spans="1:9" ht="15.75" customHeight="1">
      <c r="A13" s="631">
        <v>589462</v>
      </c>
      <c r="B13" s="631" t="s">
        <v>371</v>
      </c>
      <c r="C13" s="572">
        <v>87</v>
      </c>
      <c r="D13" s="572"/>
      <c r="E13" s="572"/>
      <c r="F13" s="118">
        <f t="shared" si="0"/>
        <v>87</v>
      </c>
      <c r="I13" s="118"/>
    </row>
    <row r="14" spans="1:9" ht="15.75" customHeight="1">
      <c r="A14" s="631">
        <v>589466</v>
      </c>
      <c r="B14" s="631" t="s">
        <v>372</v>
      </c>
      <c r="C14" s="572">
        <v>12</v>
      </c>
      <c r="D14" s="572"/>
      <c r="E14" s="572"/>
      <c r="F14" s="118">
        <f t="shared" si="0"/>
        <v>12</v>
      </c>
      <c r="I14" s="118"/>
    </row>
    <row r="15" spans="1:9" ht="15.75" customHeight="1">
      <c r="A15" s="631">
        <v>116180</v>
      </c>
      <c r="B15" s="631" t="s">
        <v>373</v>
      </c>
      <c r="C15" s="572">
        <v>10</v>
      </c>
      <c r="D15" s="572"/>
      <c r="E15" s="572"/>
      <c r="F15" s="118">
        <f t="shared" si="0"/>
        <v>10</v>
      </c>
    </row>
    <row r="16" spans="1:9" ht="15.75" customHeight="1">
      <c r="A16" s="631">
        <v>695413</v>
      </c>
      <c r="B16" s="631" t="s">
        <v>374</v>
      </c>
      <c r="C16" s="572">
        <v>10</v>
      </c>
      <c r="D16" s="572"/>
      <c r="E16" s="572"/>
      <c r="F16" s="118">
        <f t="shared" si="0"/>
        <v>10</v>
      </c>
    </row>
    <row r="17" spans="1:8" ht="15.75" customHeight="1">
      <c r="A17" s="631">
        <v>699883</v>
      </c>
      <c r="B17" s="631" t="s">
        <v>375</v>
      </c>
      <c r="C17" s="572">
        <v>20</v>
      </c>
      <c r="D17" s="572"/>
      <c r="E17" s="572"/>
      <c r="F17" s="118">
        <f t="shared" si="0"/>
        <v>20</v>
      </c>
    </row>
    <row r="18" spans="1:8" ht="15.75" customHeight="1">
      <c r="A18" s="631">
        <v>645380</v>
      </c>
      <c r="B18" s="631" t="s">
        <v>376</v>
      </c>
      <c r="C18" s="572">
        <v>0</v>
      </c>
      <c r="D18" s="572"/>
      <c r="E18" s="572"/>
      <c r="F18" s="118">
        <f t="shared" si="0"/>
        <v>0</v>
      </c>
      <c r="H18" s="634"/>
    </row>
    <row r="19" spans="1:8" ht="15.75" customHeight="1">
      <c r="A19" s="631">
        <v>578785</v>
      </c>
      <c r="B19" s="631" t="s">
        <v>377</v>
      </c>
      <c r="C19" s="572">
        <v>0</v>
      </c>
      <c r="D19" s="572"/>
      <c r="E19" s="572"/>
      <c r="F19" s="118">
        <f t="shared" si="0"/>
        <v>0</v>
      </c>
      <c r="H19" s="634"/>
    </row>
    <row r="20" spans="1:8" ht="15.75" customHeight="1">
      <c r="H20" s="634"/>
    </row>
    <row r="21" spans="1:8" ht="15.75" customHeight="1">
      <c r="H21" s="634"/>
    </row>
    <row r="22" spans="1:8" ht="15.75" customHeight="1">
      <c r="H22" s="634"/>
    </row>
    <row r="23" spans="1:8" ht="15.75" customHeight="1">
      <c r="H23" s="634"/>
    </row>
  </sheetData>
  <phoneticPr fontId="8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9"/>
  <sheetViews>
    <sheetView workbookViewId="0"/>
  </sheetViews>
  <sheetFormatPr defaultColWidth="14.42578125" defaultRowHeight="15.75" customHeight="1"/>
  <cols>
    <col min="1" max="1" width="17.7109375" customWidth="1"/>
    <col min="3" max="3" width="43" customWidth="1"/>
    <col min="4" max="4" width="23" customWidth="1"/>
    <col min="5" max="5" width="43.5703125" customWidth="1"/>
    <col min="6" max="6" width="14" customWidth="1"/>
    <col min="7" max="7" width="14.7109375" customWidth="1"/>
  </cols>
  <sheetData>
    <row r="1" spans="1:8" ht="15.75" customHeight="1">
      <c r="A1" s="7"/>
      <c r="F1" s="7"/>
      <c r="G1" s="7"/>
      <c r="H1" s="7"/>
    </row>
    <row r="2" spans="1:8" ht="15.75" customHeight="1">
      <c r="A2" s="638" t="s">
        <v>378</v>
      </c>
      <c r="B2" s="638" t="s">
        <v>379</v>
      </c>
      <c r="C2" s="638" t="s">
        <v>380</v>
      </c>
      <c r="D2" s="638" t="s">
        <v>381</v>
      </c>
      <c r="E2" s="638" t="s">
        <v>361</v>
      </c>
      <c r="F2" s="638" t="s">
        <v>382</v>
      </c>
      <c r="G2" s="638" t="s">
        <v>383</v>
      </c>
      <c r="H2" s="7"/>
    </row>
    <row r="3" spans="1:8" ht="15.75" customHeight="1">
      <c r="A3" s="639">
        <v>117547</v>
      </c>
      <c r="B3" s="639"/>
      <c r="C3" s="639" t="s">
        <v>351</v>
      </c>
      <c r="D3" s="639" t="s">
        <v>261</v>
      </c>
      <c r="E3" s="639" t="s">
        <v>362</v>
      </c>
      <c r="F3" s="639">
        <v>6</v>
      </c>
      <c r="G3" s="639">
        <v>108</v>
      </c>
      <c r="H3" s="7"/>
    </row>
    <row r="4" spans="1:8" ht="15.75" customHeight="1">
      <c r="A4" s="639">
        <v>552897</v>
      </c>
      <c r="B4" s="639"/>
      <c r="C4" s="639" t="s">
        <v>384</v>
      </c>
      <c r="D4" s="639" t="s">
        <v>269</v>
      </c>
      <c r="E4" s="639" t="s">
        <v>385</v>
      </c>
      <c r="F4" s="639">
        <v>10</v>
      </c>
      <c r="G4" s="639">
        <v>245</v>
      </c>
      <c r="H4" s="7"/>
    </row>
    <row r="5" spans="1:8" ht="15.75" customHeight="1">
      <c r="A5" s="639">
        <v>117771</v>
      </c>
      <c r="B5" s="639"/>
      <c r="C5" s="639" t="s">
        <v>358</v>
      </c>
      <c r="D5" s="639" t="s">
        <v>270</v>
      </c>
      <c r="E5" s="639" t="s">
        <v>364</v>
      </c>
      <c r="F5" s="639">
        <v>3</v>
      </c>
      <c r="G5" s="639">
        <v>200</v>
      </c>
      <c r="H5" s="7"/>
    </row>
    <row r="6" spans="1:8" ht="15.75" customHeight="1">
      <c r="A6" s="639">
        <v>646546</v>
      </c>
      <c r="B6" s="639"/>
      <c r="C6" s="639" t="s">
        <v>386</v>
      </c>
      <c r="D6" s="639" t="s">
        <v>271</v>
      </c>
      <c r="E6" s="639" t="s">
        <v>365</v>
      </c>
      <c r="F6" s="639">
        <v>3</v>
      </c>
      <c r="G6" s="639">
        <v>225</v>
      </c>
      <c r="H6" s="7"/>
    </row>
    <row r="7" spans="1:8" ht="15.75" customHeight="1">
      <c r="A7" s="639">
        <v>646567</v>
      </c>
      <c r="B7" s="639"/>
      <c r="C7" s="639" t="s">
        <v>352</v>
      </c>
      <c r="D7" s="639" t="s">
        <v>272</v>
      </c>
      <c r="E7" s="639" t="s">
        <v>366</v>
      </c>
      <c r="F7" s="639">
        <v>3</v>
      </c>
      <c r="G7" s="639">
        <v>225</v>
      </c>
      <c r="H7" s="7"/>
    </row>
    <row r="8" spans="1:8" ht="15.75" customHeight="1">
      <c r="A8" s="639">
        <v>691217</v>
      </c>
      <c r="B8" s="639"/>
      <c r="C8" s="639" t="s">
        <v>387</v>
      </c>
      <c r="D8" s="639" t="s">
        <v>273</v>
      </c>
      <c r="E8" s="639" t="s">
        <v>367</v>
      </c>
      <c r="F8" s="639">
        <v>12</v>
      </c>
      <c r="G8" s="639" t="s">
        <v>388</v>
      </c>
      <c r="H8" s="7"/>
    </row>
    <row r="9" spans="1:8" ht="15.75" customHeight="1">
      <c r="A9" s="639">
        <v>611174</v>
      </c>
      <c r="B9" s="639"/>
      <c r="C9" s="639" t="s">
        <v>355</v>
      </c>
      <c r="D9" s="639" t="s">
        <v>274</v>
      </c>
      <c r="E9" s="639" t="s">
        <v>368</v>
      </c>
      <c r="F9" s="639">
        <v>12</v>
      </c>
      <c r="G9" s="639">
        <v>72</v>
      </c>
      <c r="H9" s="7"/>
    </row>
    <row r="10" spans="1:8" ht="15.75" customHeight="1">
      <c r="A10" s="639">
        <v>701775</v>
      </c>
      <c r="B10" s="639"/>
      <c r="C10" s="639" t="s">
        <v>357</v>
      </c>
      <c r="D10" s="639" t="s">
        <v>275</v>
      </c>
      <c r="E10" s="639" t="s">
        <v>369</v>
      </c>
      <c r="F10" s="639">
        <v>6</v>
      </c>
      <c r="G10" s="639">
        <v>108</v>
      </c>
      <c r="H10" s="7"/>
    </row>
    <row r="11" spans="1:8" ht="15.75" customHeight="1">
      <c r="A11" s="639">
        <v>646548</v>
      </c>
      <c r="B11" s="639"/>
      <c r="C11" s="639" t="s">
        <v>349</v>
      </c>
      <c r="D11" s="639" t="s">
        <v>277</v>
      </c>
      <c r="E11" s="639" t="s">
        <v>370</v>
      </c>
      <c r="F11" s="639">
        <v>3</v>
      </c>
      <c r="G11" s="639">
        <v>225</v>
      </c>
      <c r="H11" s="7"/>
    </row>
    <row r="12" spans="1:8" ht="15.75" customHeight="1">
      <c r="A12" s="639">
        <v>589462</v>
      </c>
      <c r="B12" s="639"/>
      <c r="C12" s="639" t="s">
        <v>347</v>
      </c>
      <c r="D12" s="639" t="s">
        <v>279</v>
      </c>
      <c r="E12" s="639" t="s">
        <v>371</v>
      </c>
      <c r="F12" s="639">
        <v>6</v>
      </c>
      <c r="G12" s="639">
        <v>108</v>
      </c>
      <c r="H12" s="7"/>
    </row>
    <row r="13" spans="1:8" ht="15.75" customHeight="1">
      <c r="A13" s="639">
        <v>589466</v>
      </c>
      <c r="B13" s="639"/>
      <c r="C13" s="639" t="s">
        <v>348</v>
      </c>
      <c r="D13" s="639" t="s">
        <v>281</v>
      </c>
      <c r="E13" s="639" t="s">
        <v>372</v>
      </c>
      <c r="F13" s="639">
        <v>6</v>
      </c>
      <c r="G13" s="639">
        <v>108</v>
      </c>
      <c r="H13" s="7"/>
    </row>
    <row r="14" spans="1:8" ht="15.75" customHeight="1">
      <c r="A14" s="639">
        <v>116180</v>
      </c>
      <c r="B14" s="639"/>
      <c r="C14" s="639" t="s">
        <v>350</v>
      </c>
      <c r="D14" s="639" t="s">
        <v>282</v>
      </c>
      <c r="E14" s="639" t="s">
        <v>373</v>
      </c>
      <c r="F14" s="639">
        <v>3</v>
      </c>
      <c r="G14" s="639">
        <v>200</v>
      </c>
      <c r="H14" s="7"/>
    </row>
    <row r="15" spans="1:8" ht="15.75" customHeight="1">
      <c r="A15" s="639">
        <v>695413</v>
      </c>
      <c r="B15" s="639"/>
      <c r="C15" s="639" t="s">
        <v>346</v>
      </c>
      <c r="D15" s="639" t="s">
        <v>283</v>
      </c>
      <c r="E15" s="639" t="s">
        <v>374</v>
      </c>
      <c r="F15" s="639">
        <v>6</v>
      </c>
      <c r="G15" s="639">
        <v>132</v>
      </c>
      <c r="H15" s="7"/>
    </row>
    <row r="16" spans="1:8" ht="15.75" customHeight="1">
      <c r="A16" s="639">
        <v>699883</v>
      </c>
      <c r="B16" s="639"/>
      <c r="C16" s="639" t="s">
        <v>345</v>
      </c>
      <c r="D16" s="639" t="s">
        <v>284</v>
      </c>
      <c r="E16" s="639" t="s">
        <v>375</v>
      </c>
      <c r="F16" s="639">
        <v>6</v>
      </c>
      <c r="G16" s="639">
        <v>144</v>
      </c>
      <c r="H16" s="7"/>
    </row>
    <row r="17" spans="1:8" ht="15.75" customHeight="1">
      <c r="A17" s="639">
        <v>645380</v>
      </c>
      <c r="B17" s="639"/>
      <c r="C17" s="639" t="s">
        <v>354</v>
      </c>
      <c r="D17" s="639" t="s">
        <v>285</v>
      </c>
      <c r="E17" s="639" t="s">
        <v>389</v>
      </c>
      <c r="F17" s="639">
        <v>12</v>
      </c>
      <c r="G17" s="639">
        <v>72</v>
      </c>
      <c r="H17" s="7"/>
    </row>
    <row r="18" spans="1:8" ht="15.75" customHeight="1">
      <c r="A18" s="639">
        <v>578785</v>
      </c>
      <c r="B18" s="639"/>
      <c r="C18" s="639" t="s">
        <v>353</v>
      </c>
      <c r="D18" s="639" t="s">
        <v>288</v>
      </c>
      <c r="E18" s="639" t="s">
        <v>377</v>
      </c>
      <c r="F18" s="639">
        <v>10</v>
      </c>
      <c r="G18" s="639">
        <v>245</v>
      </c>
      <c r="H18" s="7"/>
    </row>
    <row r="19" spans="1:8" ht="15.75" customHeight="1">
      <c r="A19" s="639">
        <v>552896</v>
      </c>
      <c r="B19" s="639"/>
      <c r="C19" s="639" t="s">
        <v>390</v>
      </c>
      <c r="D19" s="639" t="s">
        <v>391</v>
      </c>
      <c r="E19" s="639" t="s">
        <v>392</v>
      </c>
      <c r="F19" s="639">
        <v>10</v>
      </c>
      <c r="G19" s="639">
        <v>245</v>
      </c>
    </row>
  </sheetData>
  <phoneticPr fontId="8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D966"/>
    <outlinePr summaryBelow="0" summaryRight="0"/>
  </sheetPr>
  <dimension ref="A1:W54"/>
  <sheetViews>
    <sheetView workbookViewId="0"/>
  </sheetViews>
  <sheetFormatPr defaultColWidth="14.42578125" defaultRowHeight="15.75" customHeight="1"/>
  <cols>
    <col min="3" max="3" width="13.42578125" customWidth="1"/>
    <col min="4" max="4" width="19.140625" customWidth="1"/>
  </cols>
  <sheetData>
    <row r="1" spans="1:23">
      <c r="A1" s="1"/>
      <c r="B1" s="3"/>
      <c r="C1" s="3"/>
    </row>
    <row r="2" spans="1:23" ht="15.75" customHeight="1">
      <c r="A2" s="1"/>
      <c r="B2" s="5" t="s">
        <v>393</v>
      </c>
      <c r="C2" s="3"/>
    </row>
    <row r="3" spans="1:23">
      <c r="A3" s="1"/>
      <c r="B3" s="972"/>
      <c r="C3" s="860"/>
      <c r="D3" s="18" t="s">
        <v>394</v>
      </c>
      <c r="E3" s="18" t="s">
        <v>14</v>
      </c>
      <c r="F3" s="18" t="s">
        <v>15</v>
      </c>
      <c r="G3" s="18" t="s">
        <v>16</v>
      </c>
      <c r="H3" s="18" t="s">
        <v>17</v>
      </c>
      <c r="I3" s="18" t="s">
        <v>18</v>
      </c>
      <c r="J3" s="18" t="s">
        <v>19</v>
      </c>
      <c r="K3" s="18" t="s">
        <v>20</v>
      </c>
      <c r="L3" s="18" t="s">
        <v>21</v>
      </c>
      <c r="M3" s="18" t="s">
        <v>22</v>
      </c>
      <c r="N3" s="18" t="s">
        <v>23</v>
      </c>
      <c r="O3" s="18" t="s">
        <v>24</v>
      </c>
      <c r="P3" s="18" t="s">
        <v>25</v>
      </c>
      <c r="Q3" s="18" t="s">
        <v>26</v>
      </c>
      <c r="R3" s="18" t="s">
        <v>15</v>
      </c>
      <c r="S3" s="18" t="s">
        <v>16</v>
      </c>
      <c r="T3" s="18" t="s">
        <v>17</v>
      </c>
      <c r="U3" s="18" t="s">
        <v>18</v>
      </c>
      <c r="V3" s="18" t="s">
        <v>19</v>
      </c>
      <c r="W3" s="18" t="s">
        <v>20</v>
      </c>
    </row>
    <row r="4" spans="1:23">
      <c r="A4" s="1"/>
      <c r="B4" s="973" t="s">
        <v>27</v>
      </c>
      <c r="C4" s="405">
        <v>1</v>
      </c>
      <c r="D4" s="640">
        <v>676366</v>
      </c>
      <c r="E4" s="641">
        <f>Domestic_2607!L6*VLOOKUP($D4,단가!$B:$E,4,0)</f>
        <v>300367262.83999997</v>
      </c>
      <c r="F4" s="641">
        <f>Domestic_2607!M6*VLOOKUP($D4,단가!$B:$E,4,0)</f>
        <v>0</v>
      </c>
      <c r="G4" s="641">
        <f>Domestic_2607!N6*VLOOKUP($D4,단가!$B:$E,4,0)</f>
        <v>148182484.56</v>
      </c>
      <c r="H4" s="641">
        <f>Domestic_2607!O6*VLOOKUP($D4,단가!$B:$E,4,0)</f>
        <v>182738874.24000001</v>
      </c>
      <c r="I4" s="641">
        <f>Domestic_2607!P6*VLOOKUP($D4,단가!$B:$E,4,0)</f>
        <v>281136729.60000002</v>
      </c>
      <c r="J4" s="641">
        <f>Domestic_2607!Q6*VLOOKUP($D4,단가!$B:$E,4,0)</f>
        <v>0</v>
      </c>
      <c r="K4" s="641">
        <f>Domestic_2607!R6*VLOOKUP($D4,단가!$B:$E,4,0)</f>
        <v>291581740.04000002</v>
      </c>
      <c r="L4" s="641">
        <f>Domestic_2607!S6*VLOOKUP($D4,단가!$B:$E,4,0)</f>
        <v>0</v>
      </c>
      <c r="M4" s="641">
        <f>Domestic_2607!T6*VLOOKUP($D4,단가!$B:$E,4,0)</f>
        <v>1073981353.8399999</v>
      </c>
      <c r="N4" s="641">
        <f>Domestic_2607!U6*VLOOKUP($D4,단가!$B:$E,4,0)</f>
        <v>282405749.56</v>
      </c>
      <c r="O4" s="641">
        <f>Domestic_2607!V6*VLOOKUP($D4,단가!$B:$E,4,0)</f>
        <v>325064343.60000002</v>
      </c>
      <c r="P4" s="641">
        <f>Domestic_2607!W6*VLOOKUP($D4,단가!$B:$E,4,0)</f>
        <v>0</v>
      </c>
      <c r="Q4" s="641">
        <f>Domestic_2607!X6*VLOOKUP($D4,단가!$B:$E,4,0)</f>
        <v>0</v>
      </c>
      <c r="R4" s="641">
        <f>Domestic_2607!Y6*VLOOKUP($D4,단가!$B:$E,4,0)</f>
        <v>0</v>
      </c>
      <c r="S4" s="641">
        <f>Domestic_2607!Z6*VLOOKUP($D4,단가!$B:$E,4,0)</f>
        <v>309250402.56</v>
      </c>
      <c r="T4" s="641">
        <f>Domestic_2607!AA6*VLOOKUP($D4,단가!$B:$E,4,0)</f>
        <v>0</v>
      </c>
      <c r="U4" s="641">
        <f>Domestic_2607!AB6*VLOOKUP($D4,단가!$B:$E,4,0)</f>
        <v>253023056.63999999</v>
      </c>
      <c r="V4" s="641">
        <f>Domestic_2607!AC6*VLOOKUP($D4,단가!$B:$E,4,0)</f>
        <v>154625201.28</v>
      </c>
      <c r="W4" s="641">
        <f>Domestic_2607!AD6*VLOOKUP($D4,단가!$B:$E,4,0)</f>
        <v>0</v>
      </c>
    </row>
    <row r="5" spans="1:23">
      <c r="A5" s="1"/>
      <c r="B5" s="869"/>
      <c r="C5" s="405">
        <v>2</v>
      </c>
      <c r="D5" s="640">
        <v>676367</v>
      </c>
      <c r="E5" s="641">
        <f>Domestic_2607!L7*VLOOKUP($D5,단가!$B:$E,4,0)</f>
        <v>145156360.03999999</v>
      </c>
      <c r="F5" s="641">
        <f>Domestic_2607!M7*VLOOKUP($D5,단가!$B:$E,4,0)</f>
        <v>154625201.28</v>
      </c>
      <c r="G5" s="641">
        <f>Domestic_2607!N7*VLOOKUP($D5,단가!$B:$E,4,0)</f>
        <v>10542627.359999999</v>
      </c>
      <c r="H5" s="641">
        <f>Domestic_2607!O7*VLOOKUP($D5,단가!$B:$E,4,0)</f>
        <v>152575245.96000001</v>
      </c>
      <c r="I5" s="641">
        <f>Domestic_2607!P7*VLOOKUP($D5,단가!$B:$E,4,0)</f>
        <v>28113672.960000001</v>
      </c>
      <c r="J5" s="641">
        <f>Domestic_2607!Q7*VLOOKUP($D5,단가!$B:$E,4,0)</f>
        <v>0</v>
      </c>
      <c r="K5" s="641">
        <f>Domestic_2607!R7*VLOOKUP($D5,단가!$B:$E,4,0)</f>
        <v>172781948.40000001</v>
      </c>
      <c r="L5" s="641">
        <f>Domestic_2607!S7*VLOOKUP($D5,단가!$B:$E,4,0)</f>
        <v>154625201.28</v>
      </c>
      <c r="M5" s="641">
        <f>Domestic_2607!T7*VLOOKUP($D5,단가!$B:$E,4,0)</f>
        <v>196795710.72</v>
      </c>
      <c r="N5" s="641">
        <f>Domestic_2607!U7*VLOOKUP($D5,단가!$B:$E,4,0)</f>
        <v>0</v>
      </c>
      <c r="O5" s="641">
        <f>Domestic_2607!V7*VLOOKUP($D5,단가!$B:$E,4,0)</f>
        <v>417019482.24000001</v>
      </c>
      <c r="P5" s="641">
        <f>Domestic_2607!W7*VLOOKUP($D5,단가!$B:$E,4,0)</f>
        <v>165265445.56</v>
      </c>
      <c r="Q5" s="641">
        <f>Domestic_2607!X7*VLOOKUP($D5,단가!$B:$E,4,0)</f>
        <v>0</v>
      </c>
      <c r="R5" s="641">
        <f>Domestic_2607!Y7*VLOOKUP($D5,단가!$B:$E,4,0)</f>
        <v>0</v>
      </c>
      <c r="S5" s="641">
        <f>Domestic_2607!Z7*VLOOKUP($D5,단가!$B:$E,4,0)</f>
        <v>0</v>
      </c>
      <c r="T5" s="641">
        <f>Domestic_2607!AA7*VLOOKUP($D5,단가!$B:$E,4,0)</f>
        <v>0</v>
      </c>
      <c r="U5" s="641">
        <f>Domestic_2607!AB7*VLOOKUP($D5,단가!$B:$E,4,0)</f>
        <v>56227345.920000002</v>
      </c>
      <c r="V5" s="641">
        <f>Domestic_2607!AC7*VLOOKUP($D5,단가!$B:$E,4,0)</f>
        <v>0</v>
      </c>
      <c r="W5" s="641">
        <f>Domestic_2607!AD7*VLOOKUP($D5,단가!$B:$E,4,0)</f>
        <v>0</v>
      </c>
    </row>
    <row r="6" spans="1:23">
      <c r="A6" s="1"/>
      <c r="B6" s="870"/>
      <c r="C6" s="405">
        <v>3</v>
      </c>
      <c r="D6" s="640">
        <v>676369</v>
      </c>
      <c r="E6" s="641">
        <f>Domestic_2607!L8*VLOOKUP($D6,단가!$B:$E,4,0)</f>
        <v>0</v>
      </c>
      <c r="F6" s="641">
        <f>Domestic_2607!M8*VLOOKUP($D6,단가!$B:$E,4,0)</f>
        <v>151599076.75999999</v>
      </c>
      <c r="G6" s="641">
        <f>Domestic_2607!N8*VLOOKUP($D6,단가!$B:$E,4,0)</f>
        <v>0</v>
      </c>
      <c r="H6" s="641">
        <f>Domestic_2607!O8*VLOOKUP($D6,단가!$B:$E,4,0)</f>
        <v>0</v>
      </c>
      <c r="I6" s="641">
        <f>Domestic_2607!P8*VLOOKUP($D6,단가!$B:$E,4,0)</f>
        <v>0</v>
      </c>
      <c r="J6" s="641">
        <f>Domestic_2607!Q8*VLOOKUP($D6,단가!$B:$E,4,0)</f>
        <v>0</v>
      </c>
      <c r="K6" s="641">
        <f>Domestic_2607!R8*VLOOKUP($D6,단가!$B:$E,4,0)</f>
        <v>0</v>
      </c>
      <c r="L6" s="641">
        <f>Domestic_2607!S8*VLOOKUP($D6,단가!$B:$E,4,0)</f>
        <v>0</v>
      </c>
      <c r="M6" s="641">
        <f>Domestic_2607!T8*VLOOKUP($D6,단가!$B:$E,4,0)</f>
        <v>168682037.75999999</v>
      </c>
      <c r="N6" s="641">
        <f>Domestic_2607!U8*VLOOKUP($D6,단가!$B:$E,4,0)</f>
        <v>0</v>
      </c>
      <c r="O6" s="641">
        <f>Domestic_2607!V8*VLOOKUP($D6,단가!$B:$E,4,0)</f>
        <v>8102204.3599999994</v>
      </c>
      <c r="P6" s="641">
        <f>Domestic_2607!W8*VLOOKUP($D6,단가!$B:$E,4,0)</f>
        <v>140568364.80000001</v>
      </c>
      <c r="Q6" s="641">
        <f>Domestic_2607!X8*VLOOKUP($D6,단가!$B:$E,4,0)</f>
        <v>0</v>
      </c>
      <c r="R6" s="641">
        <f>Domestic_2607!Y8*VLOOKUP($D6,단가!$B:$E,4,0)</f>
        <v>0</v>
      </c>
      <c r="S6" s="641">
        <f>Domestic_2607!Z8*VLOOKUP($D6,단가!$B:$E,4,0)</f>
        <v>0</v>
      </c>
      <c r="T6" s="641">
        <f>Domestic_2607!AA8*VLOOKUP($D6,단가!$B:$E,4,0)</f>
        <v>0</v>
      </c>
      <c r="U6" s="641">
        <f>Domestic_2607!AB8*VLOOKUP($D6,단가!$B:$E,4,0)</f>
        <v>0</v>
      </c>
      <c r="V6" s="641">
        <f>Domestic_2607!AC8*VLOOKUP($D6,단가!$B:$E,4,0)</f>
        <v>0</v>
      </c>
      <c r="W6" s="641">
        <f>Domestic_2607!AD8*VLOOKUP($D6,단가!$B:$E,4,0)</f>
        <v>0</v>
      </c>
    </row>
    <row r="7" spans="1:23">
      <c r="A7" s="1"/>
      <c r="B7" s="974" t="s">
        <v>32</v>
      </c>
      <c r="C7" s="666">
        <v>1</v>
      </c>
      <c r="D7" s="640">
        <v>677211</v>
      </c>
      <c r="E7" s="641">
        <f>Domestic_2607!L9*21.33</f>
        <v>196577.27999999997</v>
      </c>
      <c r="F7" s="641">
        <f>Domestic_2607!M9*21.33</f>
        <v>352200.95999999996</v>
      </c>
      <c r="G7" s="641">
        <f>Domestic_2607!N9*21.33</f>
        <v>518318.99999999994</v>
      </c>
      <c r="H7" s="641">
        <f>Domestic_2607!O9*21.33</f>
        <v>0</v>
      </c>
      <c r="I7" s="641">
        <f>Domestic_2607!P9*21.33</f>
        <v>1292000.76</v>
      </c>
      <c r="J7" s="641">
        <f>Domestic_2607!Q9*21.33</f>
        <v>459874.8</v>
      </c>
      <c r="K7" s="641">
        <f>Domestic_2607!R9*21.33</f>
        <v>507824.63999999996</v>
      </c>
      <c r="L7" s="641">
        <f>Domestic_2607!S9*21.33</f>
        <v>0</v>
      </c>
      <c r="M7" s="641">
        <f>Domestic_2607!T9*21.33</f>
        <v>840999.24</v>
      </c>
      <c r="N7" s="641">
        <f>Domestic_2607!U9*VLOOKUP($D7,단가!$B:$E,4,0)</f>
        <v>835939987.20000005</v>
      </c>
      <c r="O7" s="641">
        <f>Domestic_2607!V9*VLOOKUP($D7,단가!$B:$E,4,0)</f>
        <v>599250465.92000008</v>
      </c>
      <c r="P7" s="641">
        <f>Domestic_2607!W9*VLOOKUP($D7,단가!$B:$E,4,0)</f>
        <v>2017465892.48</v>
      </c>
      <c r="Q7" s="641">
        <f>Domestic_2607!X9*VLOOKUP($D7,단가!$B:$E,4,0)</f>
        <v>1537360896</v>
      </c>
      <c r="R7" s="641">
        <f>Domestic_2607!Y9*VLOOKUP($D7,단가!$B:$E,4,0)</f>
        <v>814801274.88</v>
      </c>
      <c r="S7" s="641">
        <f>Domestic_2607!Z9*VLOOKUP($D7,단가!$B:$E,4,0)</f>
        <v>2306041344</v>
      </c>
      <c r="T7" s="641">
        <f>Domestic_2607!AA9*VLOOKUP($D7,단가!$B:$E,4,0)</f>
        <v>1137647063.04</v>
      </c>
      <c r="U7" s="641">
        <f>Domestic_2607!AB9*VLOOKUP($D7,단가!$B:$E,4,0)</f>
        <v>1721844203.52</v>
      </c>
      <c r="V7" s="641">
        <f>Domestic_2607!AC9*VLOOKUP($D7,단가!$B:$E,4,0)</f>
        <v>0</v>
      </c>
      <c r="W7" s="641">
        <f>Domestic_2607!AD9*VLOOKUP($D7,단가!$B:$E,4,0)</f>
        <v>0</v>
      </c>
    </row>
    <row r="8" spans="1:23">
      <c r="A8" s="1"/>
      <c r="B8" s="869"/>
      <c r="C8" s="666">
        <v>2</v>
      </c>
      <c r="D8" s="640">
        <v>677200</v>
      </c>
      <c r="E8" s="641">
        <f>Domestic_2607!L10*21.33</f>
        <v>0</v>
      </c>
      <c r="F8" s="641">
        <f>Domestic_2607!M10*21.33</f>
        <v>0</v>
      </c>
      <c r="G8" s="641">
        <f>Domestic_2607!N10*21.33</f>
        <v>265174.56</v>
      </c>
      <c r="H8" s="641">
        <f>Domestic_2607!O10*21.33</f>
        <v>0</v>
      </c>
      <c r="I8" s="641">
        <f>Domestic_2607!P10*21.33</f>
        <v>647066.88</v>
      </c>
      <c r="J8" s="641">
        <f>Domestic_2607!Q10*21.33</f>
        <v>460386.72</v>
      </c>
      <c r="K8" s="641">
        <f>Domestic_2607!R10*21.33</f>
        <v>0</v>
      </c>
      <c r="L8" s="641">
        <f>Domestic_2607!S10*21.33</f>
        <v>139242.23999999999</v>
      </c>
      <c r="M8" s="641">
        <f>Domestic_2607!T10*21.33</f>
        <v>0</v>
      </c>
      <c r="N8" s="641">
        <f>Domestic_2607!U10*VLOOKUP($D8,단가!$B:$E,4,0)</f>
        <v>0</v>
      </c>
      <c r="O8" s="641">
        <f>Domestic_2607!V10*VLOOKUP($D8,단가!$B:$E,4,0)</f>
        <v>1106899845.1200001</v>
      </c>
      <c r="P8" s="641">
        <f>Domestic_2607!W10*VLOOKUP($D8,단가!$B:$E,4,0)</f>
        <v>1159746625.9200001</v>
      </c>
      <c r="Q8" s="641">
        <f>Domestic_2607!X10*VLOOKUP($D8,단가!$B:$E,4,0)</f>
        <v>845548492.80000007</v>
      </c>
      <c r="R8" s="641">
        <f>Domestic_2607!Y10*VLOOKUP($D8,단가!$B:$E,4,0)</f>
        <v>461208268.80000001</v>
      </c>
      <c r="S8" s="641">
        <f>Domestic_2607!Z10*VLOOKUP($D8,단가!$B:$E,4,0)</f>
        <v>1147896135.6800001</v>
      </c>
      <c r="T8" s="641">
        <f>Domestic_2607!AA10*VLOOKUP($D8,단가!$B:$E,4,0)</f>
        <v>445834659.84000003</v>
      </c>
      <c r="U8" s="641">
        <f>Domestic_2607!AB10*VLOOKUP($D8,단가!$B:$E,4,0)</f>
        <v>937790146.56000006</v>
      </c>
      <c r="V8" s="641">
        <f>Domestic_2607!AC10*VLOOKUP($D8,단가!$B:$E,4,0)</f>
        <v>0</v>
      </c>
      <c r="W8" s="641">
        <f>Domestic_2607!AD10*VLOOKUP($D8,단가!$B:$E,4,0)</f>
        <v>0</v>
      </c>
    </row>
    <row r="9" spans="1:23">
      <c r="A9" s="1"/>
      <c r="B9" s="870"/>
      <c r="C9" s="666">
        <v>3</v>
      </c>
      <c r="D9" s="640">
        <v>677281</v>
      </c>
      <c r="E9" s="641">
        <f>Domestic_2607!L11*21.33</f>
        <v>0</v>
      </c>
      <c r="F9" s="641">
        <f>Domestic_2607!M11*21.33</f>
        <v>0</v>
      </c>
      <c r="G9" s="641">
        <f>Domestic_2607!N11*21.33</f>
        <v>188386.56</v>
      </c>
      <c r="H9" s="641">
        <f>Domestic_2607!O11*21.33</f>
        <v>0</v>
      </c>
      <c r="I9" s="641">
        <f>Domestic_2607!P11*21.33</f>
        <v>4948.5599999999995</v>
      </c>
      <c r="J9" s="641">
        <f>Domestic_2607!Q11*21.33</f>
        <v>227975.03999999998</v>
      </c>
      <c r="K9" s="641">
        <f>Domestic_2607!R11*21.33</f>
        <v>0</v>
      </c>
      <c r="L9" s="641">
        <f>Domestic_2607!S11*21.33</f>
        <v>0</v>
      </c>
      <c r="M9" s="641">
        <f>Domestic_2607!T11*21.33</f>
        <v>0</v>
      </c>
      <c r="N9" s="641">
        <f>Domestic_2607!U11*VLOOKUP($D9,단가!$B:$E,4,0)</f>
        <v>0</v>
      </c>
      <c r="O9" s="641">
        <f>Domestic_2607!V11*VLOOKUP($D9,단가!$B:$E,4,0)</f>
        <v>122988871.68000001</v>
      </c>
      <c r="P9" s="641">
        <f>Domestic_2607!W11*VLOOKUP($D9,단가!$B:$E,4,0)</f>
        <v>157899775.36000001</v>
      </c>
      <c r="Q9" s="641">
        <f>Domestic_2607!X11*VLOOKUP($D9,단가!$B:$E,4,0)</f>
        <v>0</v>
      </c>
      <c r="R9" s="641">
        <f>Domestic_2607!Y11*VLOOKUP($D9,단가!$B:$E,4,0)</f>
        <v>0</v>
      </c>
      <c r="S9" s="641">
        <f>Domestic_2607!Z11*VLOOKUP($D9,단가!$B:$E,4,0)</f>
        <v>301066508.80000001</v>
      </c>
      <c r="T9" s="641">
        <f>Domestic_2607!AA11*VLOOKUP($D9,단가!$B:$E,4,0)</f>
        <v>169109698.56</v>
      </c>
      <c r="U9" s="641">
        <f>Domestic_2607!AB11*VLOOKUP($D9,단가!$B:$E,4,0)</f>
        <v>292098570.24000001</v>
      </c>
      <c r="V9" s="641">
        <f>Domestic_2607!AC11*VLOOKUP($D9,단가!$B:$E,4,0)</f>
        <v>0</v>
      </c>
      <c r="W9" s="641">
        <f>Domestic_2607!AD11*VLOOKUP($D9,단가!$B:$E,4,0)</f>
        <v>0</v>
      </c>
    </row>
    <row r="10" spans="1:23">
      <c r="A10" s="1"/>
      <c r="B10" s="674" t="s">
        <v>135</v>
      </c>
      <c r="C10" s="96" t="s">
        <v>36</v>
      </c>
      <c r="D10" s="640">
        <v>560277</v>
      </c>
      <c r="E10" s="641">
        <f>Domestic_2607!L12*VLOOKUP($D10,단가!$B:$E,4,0)</f>
        <v>0</v>
      </c>
      <c r="F10" s="641">
        <f>Domestic_2607!M12*VLOOKUP($D10,단가!$B:$E,4,0)</f>
        <v>0</v>
      </c>
      <c r="G10" s="641">
        <f>Domestic_2607!N12*VLOOKUP($D10,단가!$B:$E,4,0)</f>
        <v>0</v>
      </c>
      <c r="H10" s="641">
        <f>Domestic_2607!O12*VLOOKUP($D10,단가!$B:$E,4,0)</f>
        <v>80317.439999999988</v>
      </c>
      <c r="I10" s="641">
        <f>Domestic_2607!P12*VLOOKUP($D10,단가!$B:$E,4,0)</f>
        <v>0</v>
      </c>
      <c r="J10" s="641">
        <f>Domestic_2607!Q12*VLOOKUP($D10,단가!$B:$E,4,0)</f>
        <v>60516.959999999999</v>
      </c>
      <c r="K10" s="641">
        <f>Domestic_2607!R12*VLOOKUP($D10,단가!$B:$E,4,0)</f>
        <v>0</v>
      </c>
      <c r="L10" s="641">
        <f>Domestic_2607!S12*VLOOKUP($D10,단가!$B:$E,4,0)</f>
        <v>0</v>
      </c>
      <c r="M10" s="641">
        <f>Domestic_2607!T12*VLOOKUP($D10,단가!$B:$E,4,0)</f>
        <v>135117.35999999999</v>
      </c>
      <c r="N10" s="641">
        <f>Domestic_2607!U12*VLOOKUP($D10,단가!$B:$E,4,0)</f>
        <v>137069.51999999999</v>
      </c>
      <c r="O10" s="641">
        <f>Domestic_2607!V12*VLOOKUP($D10,단가!$B:$E,4,0)</f>
        <v>0</v>
      </c>
      <c r="P10" s="641">
        <f>Domestic_2607!W12*VLOOKUP($D10,단가!$B:$E,4,0)</f>
        <v>0</v>
      </c>
      <c r="Q10" s="641">
        <f>Domestic_2607!X12*VLOOKUP($D10,단가!$B:$E,4,0)</f>
        <v>0</v>
      </c>
      <c r="R10" s="641">
        <f>Domestic_2607!Y12*VLOOKUP($D10,단가!$B:$E,4,0)</f>
        <v>0</v>
      </c>
      <c r="S10" s="641">
        <f>Domestic_2607!Z12*VLOOKUP($D10,단가!$B:$E,4,0)</f>
        <v>0</v>
      </c>
      <c r="T10" s="641">
        <f>Domestic_2607!AA12*VLOOKUP($D10,단가!$B:$E,4,0)</f>
        <v>0</v>
      </c>
      <c r="U10" s="641">
        <f>Domestic_2607!AB12*VLOOKUP($D10,단가!$B:$E,4,0)</f>
        <v>0</v>
      </c>
      <c r="V10" s="641">
        <f>Domestic_2607!AC12*VLOOKUP($D10,단가!$B:$E,4,0)</f>
        <v>0</v>
      </c>
      <c r="W10" s="641">
        <f>Domestic_2607!AD12*VLOOKUP($D10,단가!$B:$E,4,0)</f>
        <v>0</v>
      </c>
    </row>
    <row r="11" spans="1:23">
      <c r="A11" s="1"/>
      <c r="B11" s="948" t="s">
        <v>38</v>
      </c>
      <c r="C11" s="879"/>
      <c r="D11" s="860"/>
      <c r="E11" s="675">
        <f t="shared" ref="E11:W11" si="0">SUM(E4:E10)</f>
        <v>445720200.15999997</v>
      </c>
      <c r="F11" s="675">
        <f t="shared" si="0"/>
        <v>306576478.99999994</v>
      </c>
      <c r="G11" s="675">
        <f t="shared" si="0"/>
        <v>159696992.04000002</v>
      </c>
      <c r="H11" s="675">
        <f t="shared" si="0"/>
        <v>335394437.64000005</v>
      </c>
      <c r="I11" s="675">
        <f t="shared" si="0"/>
        <v>311194418.75999999</v>
      </c>
      <c r="J11" s="675">
        <f t="shared" si="0"/>
        <v>1208753.52</v>
      </c>
      <c r="K11" s="675">
        <f t="shared" si="0"/>
        <v>464871513.08000004</v>
      </c>
      <c r="L11" s="675">
        <f t="shared" si="0"/>
        <v>154764443.52000001</v>
      </c>
      <c r="M11" s="675">
        <f t="shared" si="0"/>
        <v>1440435218.9199998</v>
      </c>
      <c r="N11" s="675">
        <f t="shared" si="0"/>
        <v>1118482806.28</v>
      </c>
      <c r="O11" s="675">
        <f t="shared" si="0"/>
        <v>2579325212.9200001</v>
      </c>
      <c r="P11" s="675">
        <f t="shared" si="0"/>
        <v>3640946104.1200004</v>
      </c>
      <c r="Q11" s="675">
        <f t="shared" si="0"/>
        <v>2382909388.8000002</v>
      </c>
      <c r="R11" s="675">
        <f t="shared" si="0"/>
        <v>1276009543.6800001</v>
      </c>
      <c r="S11" s="675">
        <f t="shared" si="0"/>
        <v>4064254391.04</v>
      </c>
      <c r="T11" s="675">
        <f t="shared" si="0"/>
        <v>1752591421.4400001</v>
      </c>
      <c r="U11" s="675">
        <f t="shared" si="0"/>
        <v>3260983322.8800001</v>
      </c>
      <c r="V11" s="675">
        <f t="shared" si="0"/>
        <v>154625201.28</v>
      </c>
      <c r="W11" s="675">
        <f t="shared" si="0"/>
        <v>0</v>
      </c>
    </row>
    <row r="12" spans="1:23">
      <c r="A12" s="1"/>
      <c r="B12" s="3"/>
      <c r="C12" s="3"/>
    </row>
    <row r="13" spans="1:23">
      <c r="A13" s="1"/>
      <c r="B13" s="181" t="s">
        <v>91</v>
      </c>
      <c r="C13" s="181"/>
    </row>
    <row r="14" spans="1:23" ht="15.75" customHeight="1">
      <c r="B14" s="975"/>
      <c r="C14" s="860"/>
      <c r="D14" s="18" t="s">
        <v>394</v>
      </c>
      <c r="E14" s="484" t="s">
        <v>14</v>
      </c>
      <c r="F14" s="484" t="s">
        <v>15</v>
      </c>
      <c r="G14" s="484" t="s">
        <v>16</v>
      </c>
      <c r="H14" s="484" t="s">
        <v>17</v>
      </c>
      <c r="I14" s="484" t="s">
        <v>17</v>
      </c>
      <c r="J14" s="484" t="s">
        <v>18</v>
      </c>
      <c r="K14" s="484" t="s">
        <v>19</v>
      </c>
      <c r="L14" s="484" t="s">
        <v>20</v>
      </c>
      <c r="M14" s="484" t="s">
        <v>21</v>
      </c>
      <c r="N14" s="18" t="s">
        <v>23</v>
      </c>
      <c r="O14" s="318" t="s">
        <v>24</v>
      </c>
      <c r="P14" s="318" t="s">
        <v>25</v>
      </c>
      <c r="Q14" s="318" t="s">
        <v>14</v>
      </c>
      <c r="R14" s="318" t="s">
        <v>15</v>
      </c>
      <c r="S14" s="318" t="s">
        <v>16</v>
      </c>
      <c r="T14" s="318" t="s">
        <v>17</v>
      </c>
      <c r="U14" s="484" t="s">
        <v>18</v>
      </c>
      <c r="V14" s="484" t="s">
        <v>19</v>
      </c>
      <c r="W14" s="484" t="s">
        <v>20</v>
      </c>
    </row>
    <row r="15" spans="1:23" ht="15.75" customHeight="1">
      <c r="A15" s="75"/>
      <c r="B15" s="976" t="s">
        <v>27</v>
      </c>
      <c r="C15" s="190" t="s">
        <v>110</v>
      </c>
      <c r="D15" s="676">
        <v>708117</v>
      </c>
      <c r="E15" s="194">
        <f>Jikgu_2606!K6*VLOOKUP($D15,단가!$B:$E,4,0)</f>
        <v>0</v>
      </c>
      <c r="F15" s="194">
        <f>Jikgu_2606!L6*VLOOKUP($D15,단가!$B:$E,4,0)</f>
        <v>0</v>
      </c>
      <c r="G15" s="194">
        <f>Jikgu_2606!M6*VLOOKUP($D15,단가!$B:$E,4,0)</f>
        <v>7954.1999999999989</v>
      </c>
      <c r="H15" s="194">
        <f>Jikgu_2606!N6*VLOOKUP($D15,단가!$B:$E,4,0)</f>
        <v>4153.8599999999997</v>
      </c>
      <c r="I15" s="194">
        <f>Jikgu_2606!O6*VLOOKUP($D15,단가!$B:$E,4,0)</f>
        <v>15908.399999999998</v>
      </c>
      <c r="J15" s="194">
        <f>Jikgu_2606!P6*VLOOKUP($D15,단가!$B:$E,4,0)</f>
        <v>7954.1999999999989</v>
      </c>
      <c r="K15" s="194">
        <f>Jikgu_2606!Q6*VLOOKUP($D15,단가!$B:$E,4,0)</f>
        <v>3977.0999999999995</v>
      </c>
      <c r="L15" s="194">
        <f>Jikgu_2606!R6*VLOOKUP($D15,단가!$B:$E,4,0)</f>
        <v>0</v>
      </c>
      <c r="M15" s="194">
        <f>Jikgu_2606!S6*VLOOKUP($D15,단가!$B:$E,4,0)</f>
        <v>23862.6</v>
      </c>
      <c r="N15" s="194">
        <f>Jikgu_2606!T6*VLOOKUP($D15,단가!$B:$E,4,0)</f>
        <v>0</v>
      </c>
      <c r="O15" s="194">
        <f>Jikgu_2606!U6*VLOOKUP($D15,단가!$B:$E,4,0)</f>
        <v>0</v>
      </c>
      <c r="P15" s="194">
        <f>Jikgu_2606!V6*VLOOKUP($D15,단가!$B:$E,4,0)</f>
        <v>0</v>
      </c>
      <c r="Q15" s="194">
        <f>Jikgu_2606!W6*VLOOKUP($D15,단가!$B:$E,4,0)</f>
        <v>0</v>
      </c>
      <c r="R15" s="194">
        <f>Jikgu_2606!X6*VLOOKUP($D15,단가!$B:$E,4,0)</f>
        <v>0</v>
      </c>
      <c r="S15" s="194">
        <f>Jikgu_2606!Y6*VLOOKUP($D15,단가!$B:$E,4,0)</f>
        <v>0</v>
      </c>
      <c r="T15" s="194">
        <f>Jikgu_2606!Z6*VLOOKUP($D15,단가!$B:$E,4,0)</f>
        <v>0</v>
      </c>
      <c r="U15" s="194">
        <f>Jikgu_2606!AA6*VLOOKUP($D15,단가!$B:$E,4,0)</f>
        <v>0</v>
      </c>
      <c r="V15" s="194">
        <f>Jikgu_2606!AB6*VLOOKUP($D15,단가!$B:$E,4,0)</f>
        <v>0</v>
      </c>
      <c r="W15" s="194">
        <f>Jikgu_2606!AC6*VLOOKUP($D15,단가!$B:$E,4,0)</f>
        <v>0</v>
      </c>
    </row>
    <row r="16" spans="1:23" ht="15.75" customHeight="1">
      <c r="A16" s="75"/>
      <c r="B16" s="869"/>
      <c r="C16" s="190">
        <v>1</v>
      </c>
      <c r="D16" s="640">
        <v>708111</v>
      </c>
      <c r="E16" s="194">
        <f>Jikgu_2606!K7*VLOOKUP($D16,단가!$B:$E,4,0)</f>
        <v>39770.999999999993</v>
      </c>
      <c r="F16" s="194">
        <f>Jikgu_2606!L7*VLOOKUP($D16,단가!$B:$E,4,0)</f>
        <v>0</v>
      </c>
      <c r="G16" s="194">
        <f>Jikgu_2606!M7*VLOOKUP($D16,단가!$B:$E,4,0)</f>
        <v>31816.799999999996</v>
      </c>
      <c r="H16" s="194">
        <f>Jikgu_2606!N7*VLOOKUP($D16,단가!$B:$E,4,0)</f>
        <v>79541.999999999985</v>
      </c>
      <c r="I16" s="194">
        <f>Jikgu_2606!O7*VLOOKUP($D16,단가!$B:$E,4,0)</f>
        <v>43748.1</v>
      </c>
      <c r="J16" s="194">
        <f>Jikgu_2606!P7*VLOOKUP($D16,단가!$B:$E,4,0)</f>
        <v>32700.6</v>
      </c>
      <c r="K16" s="194">
        <f>Jikgu_2606!Q7*VLOOKUP($D16,단가!$B:$E,4,0)</f>
        <v>23862.6</v>
      </c>
      <c r="L16" s="194">
        <f>Jikgu_2606!R7*VLOOKUP($D16,단가!$B:$E,4,0)</f>
        <v>0</v>
      </c>
      <c r="M16" s="194">
        <f>Jikgu_2606!S7*VLOOKUP($D16,단가!$B:$E,4,0)</f>
        <v>55679.399999999994</v>
      </c>
      <c r="N16" s="194">
        <f>Jikgu_2606!T7*VLOOKUP($D16,단가!$B:$E,4,0)</f>
        <v>0</v>
      </c>
      <c r="O16" s="194">
        <f>Jikgu_2606!U7*VLOOKUP($D16,단가!$B:$E,4,0)</f>
        <v>0</v>
      </c>
      <c r="P16" s="194">
        <f>Jikgu_2606!V7*VLOOKUP($D16,단가!$B:$E,4,0)</f>
        <v>0</v>
      </c>
      <c r="Q16" s="194">
        <f>Jikgu_2606!W7*VLOOKUP($D16,단가!$B:$E,4,0)</f>
        <v>0</v>
      </c>
      <c r="R16" s="194">
        <f>Jikgu_2606!X7*VLOOKUP($D16,단가!$B:$E,4,0)</f>
        <v>0</v>
      </c>
      <c r="S16" s="194">
        <f>Jikgu_2606!Y7*VLOOKUP($D16,단가!$B:$E,4,0)</f>
        <v>0</v>
      </c>
      <c r="T16" s="194">
        <f>Jikgu_2606!Z7*VLOOKUP($D16,단가!$B:$E,4,0)</f>
        <v>0</v>
      </c>
      <c r="U16" s="194">
        <f>Jikgu_2606!AA7*VLOOKUP($D16,단가!$B:$E,4,0)</f>
        <v>0</v>
      </c>
      <c r="V16" s="194">
        <f>Jikgu_2606!AB7*VLOOKUP($D16,단가!$B:$E,4,0)</f>
        <v>0</v>
      </c>
      <c r="W16" s="194">
        <f>Jikgu_2606!AC7*VLOOKUP($D16,단가!$B:$E,4,0)</f>
        <v>0</v>
      </c>
    </row>
    <row r="17" spans="1:23" ht="15.75" customHeight="1">
      <c r="A17" s="75"/>
      <c r="B17" s="869"/>
      <c r="C17" s="190" t="s">
        <v>141</v>
      </c>
      <c r="D17" s="640">
        <v>703819</v>
      </c>
      <c r="E17" s="194">
        <f>Jikgu_2606!K8*VLOOKUP($D17,단가!$B:$E,4,0)</f>
        <v>0</v>
      </c>
      <c r="F17" s="194">
        <f>Jikgu_2606!L8*VLOOKUP($D17,단가!$B:$E,4,0)</f>
        <v>0</v>
      </c>
      <c r="G17" s="194">
        <f>Jikgu_2606!M8*VLOOKUP($D17,단가!$B:$E,4,0)</f>
        <v>0</v>
      </c>
      <c r="H17" s="194">
        <f>Jikgu_2606!N8*VLOOKUP($D17,단가!$B:$E,4,0)</f>
        <v>0</v>
      </c>
      <c r="I17" s="194">
        <f>Jikgu_2606!O8*VLOOKUP($D17,단가!$B:$E,4,0)</f>
        <v>0</v>
      </c>
      <c r="J17" s="194">
        <f>Jikgu_2606!P8*VLOOKUP($D17,단가!$B:$E,4,0)</f>
        <v>0</v>
      </c>
      <c r="K17" s="194">
        <f>Jikgu_2606!Q8*VLOOKUP($D17,단가!$B:$E,4,0)</f>
        <v>0</v>
      </c>
      <c r="L17" s="194">
        <f>Jikgu_2606!R8*VLOOKUP($D17,단가!$B:$E,4,0)</f>
        <v>0</v>
      </c>
      <c r="M17" s="194">
        <f>Jikgu_2606!S7*VLOOKUP($D17,단가!$B:$E,4,0)</f>
        <v>75146.399999999994</v>
      </c>
      <c r="N17" s="194">
        <f>Jikgu_2606!T8*VLOOKUP($D17,단가!$B:$E,4,0)</f>
        <v>0</v>
      </c>
      <c r="O17" s="194">
        <f>Jikgu_2606!U8*VLOOKUP($D17,단가!$B:$E,4,0)</f>
        <v>0</v>
      </c>
      <c r="P17" s="194">
        <f>Jikgu_2606!V8*VLOOKUP($D17,단가!$B:$E,4,0)</f>
        <v>0</v>
      </c>
      <c r="Q17" s="194">
        <f>Jikgu_2606!W8*VLOOKUP($D17,단가!$B:$E,4,0)</f>
        <v>0</v>
      </c>
      <c r="R17" s="194">
        <f>Jikgu_2606!X8*VLOOKUP($D17,단가!$B:$E,4,0)</f>
        <v>0</v>
      </c>
      <c r="S17" s="194">
        <f>Jikgu_2606!Y8*VLOOKUP($D17,단가!$B:$E,4,0)</f>
        <v>0</v>
      </c>
      <c r="T17" s="194">
        <f>Jikgu_2606!Z8*VLOOKUP($D17,단가!$B:$E,4,0)</f>
        <v>0</v>
      </c>
      <c r="U17" s="194">
        <f>Jikgu_2606!AA8*VLOOKUP($D17,단가!$B:$E,4,0)</f>
        <v>0</v>
      </c>
      <c r="V17" s="194">
        <f>Jikgu_2606!AB8*VLOOKUP($D17,단가!$B:$E,4,0)</f>
        <v>0</v>
      </c>
      <c r="W17" s="194">
        <f>Jikgu_2606!AC8*VLOOKUP($D17,단가!$B:$E,4,0)</f>
        <v>0</v>
      </c>
    </row>
    <row r="18" spans="1:23" ht="15.75" customHeight="1">
      <c r="A18" s="75"/>
      <c r="B18" s="869"/>
      <c r="C18" s="190" t="s">
        <v>119</v>
      </c>
      <c r="D18" s="640">
        <v>704052</v>
      </c>
      <c r="E18" s="194">
        <f>Jikgu_2606!K9*VLOOKUP($D18,단가!$B:$E,4,0)</f>
        <v>40301.279999999999</v>
      </c>
      <c r="F18" s="194">
        <f>Jikgu_2606!L9*VLOOKUP($D18,단가!$B:$E,4,0)</f>
        <v>0</v>
      </c>
      <c r="G18" s="194">
        <f>Jikgu_2606!M9*VLOOKUP($D18,단가!$B:$E,4,0)</f>
        <v>0</v>
      </c>
      <c r="H18" s="194">
        <f>Jikgu_2606!N9*VLOOKUP($D18,단가!$B:$E,4,0)</f>
        <v>0</v>
      </c>
      <c r="I18" s="194">
        <f>Jikgu_2606!O9*VLOOKUP($D18,단가!$B:$E,4,0)</f>
        <v>105172.2</v>
      </c>
      <c r="J18" s="194">
        <f>Jikgu_2606!P9*VLOOKUP($D18,단가!$B:$E,4,0)</f>
        <v>0</v>
      </c>
      <c r="K18" s="194">
        <f>Jikgu_2606!Q9*VLOOKUP($D18,단가!$B:$E,4,0)</f>
        <v>0</v>
      </c>
      <c r="L18" s="194">
        <f>Jikgu_2606!R9*VLOOKUP($D18,단가!$B:$E,4,0)</f>
        <v>51260.4</v>
      </c>
      <c r="M18" s="194">
        <f>Jikgu_2606!S9*VLOOKUP($D18,단가!$B:$E,4,0)</f>
        <v>47725.200000000004</v>
      </c>
      <c r="N18" s="194">
        <f>Jikgu_2606!T9*VLOOKUP($D18,단가!$B:$E,4,0)</f>
        <v>0</v>
      </c>
      <c r="O18" s="194">
        <f>Jikgu_2606!U9*VLOOKUP($D18,단가!$B:$E,4,0)</f>
        <v>0</v>
      </c>
      <c r="P18" s="194">
        <f>Jikgu_2606!V9*VLOOKUP($D18,단가!$B:$E,4,0)</f>
        <v>0</v>
      </c>
      <c r="Q18" s="194">
        <f>Jikgu_2606!W9*VLOOKUP($D18,단가!$B:$E,4,0)</f>
        <v>0</v>
      </c>
      <c r="R18" s="194">
        <f>Jikgu_2606!X9*VLOOKUP($D18,단가!$B:$E,4,0)</f>
        <v>0</v>
      </c>
      <c r="S18" s="194">
        <f>Jikgu_2606!Y9*VLOOKUP($D18,단가!$B:$E,4,0)</f>
        <v>0</v>
      </c>
      <c r="T18" s="194">
        <f>Jikgu_2606!Z9*VLOOKUP($D18,단가!$B:$E,4,0)</f>
        <v>0</v>
      </c>
      <c r="U18" s="194">
        <f>Jikgu_2606!AA9*VLOOKUP($D18,단가!$B:$E,4,0)</f>
        <v>0</v>
      </c>
      <c r="V18" s="194">
        <f>Jikgu_2606!AB9*VLOOKUP($D18,단가!$B:$E,4,0)</f>
        <v>0</v>
      </c>
      <c r="W18" s="194">
        <f>Jikgu_2606!AC9*VLOOKUP($D18,단가!$B:$E,4,0)</f>
        <v>0</v>
      </c>
    </row>
    <row r="19" spans="1:23" ht="15.75" customHeight="1">
      <c r="B19" s="869"/>
      <c r="C19" s="190">
        <v>2</v>
      </c>
      <c r="D19" s="640">
        <v>708112</v>
      </c>
      <c r="E19" s="194">
        <f>Jikgu_2606!K10*VLOOKUP($D19,단가!$B:$E,4,0)</f>
        <v>0</v>
      </c>
      <c r="F19" s="194">
        <f>Jikgu_2606!L10*VLOOKUP($D19,단가!$B:$E,4,0)</f>
        <v>0</v>
      </c>
      <c r="G19" s="194">
        <f>Jikgu_2606!M10*VLOOKUP($D19,단가!$B:$E,4,0)</f>
        <v>7954.1999999999989</v>
      </c>
      <c r="H19" s="194">
        <f>Jikgu_2606!N10*VLOOKUP($D19,단가!$B:$E,4,0)</f>
        <v>0</v>
      </c>
      <c r="I19" s="194">
        <f>Jikgu_2606!O10*VLOOKUP($D19,단가!$B:$E,4,0)</f>
        <v>23862.6</v>
      </c>
      <c r="J19" s="194">
        <f>Jikgu_2606!P10*VLOOKUP($D19,단가!$B:$E,4,0)</f>
        <v>15908.399999999998</v>
      </c>
      <c r="K19" s="194">
        <f>Jikgu_2606!Q10*VLOOKUP($D19,단가!$B:$E,4,0)</f>
        <v>15908.399999999998</v>
      </c>
      <c r="L19" s="194">
        <f>Jikgu_2606!R10*VLOOKUP($D19,단가!$B:$E,4,0)</f>
        <v>0</v>
      </c>
      <c r="M19" s="194">
        <f>Jikgu_2606!S10*VLOOKUP($D19,단가!$B:$E,4,0)</f>
        <v>115335.9</v>
      </c>
      <c r="N19" s="194">
        <f>Jikgu_2606!T10*VLOOKUP($D19,단가!$B:$E,4,0)</f>
        <v>0</v>
      </c>
      <c r="O19" s="194">
        <f>Jikgu_2606!U10*VLOOKUP($D19,단가!$B:$E,4,0)</f>
        <v>0</v>
      </c>
      <c r="P19" s="194">
        <f>Jikgu_2606!V10*VLOOKUP($D19,단가!$B:$E,4,0)</f>
        <v>0</v>
      </c>
      <c r="Q19" s="194">
        <f>Jikgu_2606!W10*VLOOKUP($D19,단가!$B:$E,4,0)</f>
        <v>0</v>
      </c>
      <c r="R19" s="194">
        <f>Jikgu_2606!X10*VLOOKUP($D19,단가!$B:$E,4,0)</f>
        <v>0</v>
      </c>
      <c r="S19" s="194">
        <f>Jikgu_2606!Y10*VLOOKUP($D19,단가!$B:$E,4,0)</f>
        <v>0</v>
      </c>
      <c r="T19" s="194">
        <f>Jikgu_2606!Z10*VLOOKUP($D19,단가!$B:$E,4,0)</f>
        <v>0</v>
      </c>
      <c r="U19" s="194">
        <f>Jikgu_2606!AA10*VLOOKUP($D19,단가!$B:$E,4,0)</f>
        <v>0</v>
      </c>
      <c r="V19" s="194">
        <f>Jikgu_2606!AB10*VLOOKUP($D19,단가!$B:$E,4,0)</f>
        <v>0</v>
      </c>
      <c r="W19" s="194">
        <f>Jikgu_2606!AC10*VLOOKUP($D19,단가!$B:$E,4,0)</f>
        <v>0</v>
      </c>
    </row>
    <row r="20" spans="1:23" ht="15.75" customHeight="1">
      <c r="B20" s="869"/>
      <c r="C20" s="190" t="s">
        <v>142</v>
      </c>
      <c r="D20" s="640">
        <v>703818</v>
      </c>
      <c r="E20" s="194">
        <f>Jikgu_2606!K11*VLOOKUP($D20,단가!$B:$E,4,0)</f>
        <v>0</v>
      </c>
      <c r="F20" s="194">
        <f>Jikgu_2606!L11*VLOOKUP($D20,단가!$B:$E,4,0)</f>
        <v>0</v>
      </c>
      <c r="G20" s="194">
        <f>Jikgu_2606!M11*VLOOKUP($D20,단가!$B:$E,4,0)</f>
        <v>0</v>
      </c>
      <c r="H20" s="194">
        <f>Jikgu_2606!N11*VLOOKUP($D20,단가!$B:$E,4,0)</f>
        <v>0</v>
      </c>
      <c r="I20" s="194">
        <f>Jikgu_2606!O11*VLOOKUP($D20,단가!$B:$E,4,0)</f>
        <v>0</v>
      </c>
      <c r="J20" s="194">
        <f>Jikgu_2606!P11*VLOOKUP($D20,단가!$B:$E,4,0)</f>
        <v>0</v>
      </c>
      <c r="K20" s="194">
        <f>Jikgu_2606!Q11*VLOOKUP($D20,단가!$B:$E,4,0)</f>
        <v>0</v>
      </c>
      <c r="L20" s="194">
        <f>Jikgu_2606!R11*VLOOKUP($D20,단가!$B:$E,4,0)</f>
        <v>0</v>
      </c>
      <c r="M20" s="194">
        <f>Jikgu_2606!S11*VLOOKUP($D20,단가!$B:$E,4,0)</f>
        <v>0</v>
      </c>
      <c r="N20" s="194">
        <f>Jikgu_2606!T11*VLOOKUP($D20,단가!$B:$E,4,0)</f>
        <v>0</v>
      </c>
      <c r="O20" s="194">
        <f>Jikgu_2606!U11*VLOOKUP($D20,단가!$B:$E,4,0)</f>
        <v>0</v>
      </c>
      <c r="P20" s="194">
        <f>Jikgu_2606!V11*VLOOKUP($D20,단가!$B:$E,4,0)</f>
        <v>0</v>
      </c>
      <c r="Q20" s="194">
        <f>Jikgu_2606!W10*VLOOKUP($D20,단가!$B:$E,4,0)</f>
        <v>0</v>
      </c>
      <c r="R20" s="194">
        <f>Jikgu_2606!X11*VLOOKUP($D20,단가!$B:$E,4,0)</f>
        <v>0</v>
      </c>
      <c r="S20" s="194">
        <f>Jikgu_2606!Y11*VLOOKUP($D20,단가!$B:$E,4,0)</f>
        <v>0</v>
      </c>
      <c r="T20" s="194">
        <f>Jikgu_2606!Z11*VLOOKUP($D20,단가!$B:$E,4,0)</f>
        <v>0</v>
      </c>
      <c r="U20" s="194">
        <f>Jikgu_2606!AA11*VLOOKUP($D20,단가!$B:$E,4,0)</f>
        <v>0</v>
      </c>
      <c r="V20" s="194">
        <f>Jikgu_2606!AB11*VLOOKUP($D20,단가!$B:$E,4,0)</f>
        <v>0</v>
      </c>
      <c r="W20" s="194">
        <f>Jikgu_2606!AC11*VLOOKUP($D20,단가!$B:$E,4,0)</f>
        <v>0</v>
      </c>
    </row>
    <row r="21" spans="1:23" ht="15.75" customHeight="1">
      <c r="B21" s="869"/>
      <c r="C21" s="190" t="s">
        <v>124</v>
      </c>
      <c r="D21" s="640">
        <v>704054</v>
      </c>
      <c r="E21" s="194">
        <f>Jikgu_2606!K12*VLOOKUP($D21,단가!$B:$E,4,0)</f>
        <v>36412.559999999998</v>
      </c>
      <c r="F21" s="194">
        <f>Jikgu_2606!L12*VLOOKUP($D21,단가!$B:$E,4,0)</f>
        <v>0</v>
      </c>
      <c r="G21" s="194">
        <f>Jikgu_2606!M12*VLOOKUP($D21,단가!$B:$E,4,0)</f>
        <v>0</v>
      </c>
      <c r="H21" s="194">
        <f>Jikgu_2606!N12*VLOOKUP($D21,단가!$B:$E,4,0)</f>
        <v>0</v>
      </c>
      <c r="I21" s="194">
        <f>Jikgu_2606!O12*VLOOKUP($D21,단가!$B:$E,4,0)</f>
        <v>93800.639999999999</v>
      </c>
      <c r="J21" s="194">
        <f>Jikgu_2606!P12*VLOOKUP($D21,단가!$B:$E,4,0)</f>
        <v>66992.040000000008</v>
      </c>
      <c r="K21" s="194">
        <f>Jikgu_2606!Q12*VLOOKUP($D21,단가!$B:$E,4,0)</f>
        <v>31698.959999999999</v>
      </c>
      <c r="L21" s="194">
        <f>Jikgu_2606!R12*VLOOKUP($D21,단가!$B:$E,4,0)</f>
        <v>54206.400000000001</v>
      </c>
      <c r="M21" s="194">
        <f>Jikgu_2606!S12*VLOOKUP($D21,단가!$B:$E,4,0)</f>
        <v>120727.08</v>
      </c>
      <c r="N21" s="194">
        <f>Jikgu_2606!T12*VLOOKUP($D21,단가!$B:$E,4,0)</f>
        <v>71293.2</v>
      </c>
      <c r="O21" s="194">
        <f>Jikgu_2606!U12*VLOOKUP($D21,단가!$B:$E,4,0)</f>
        <v>0</v>
      </c>
      <c r="P21" s="194">
        <f>Jikgu_2606!V12*VLOOKUP($D21,단가!$B:$E,4,0)</f>
        <v>0</v>
      </c>
      <c r="Q21" s="194">
        <f>Jikgu_2606!W12*VLOOKUP($D21,단가!$B:$E,4,0)</f>
        <v>0</v>
      </c>
      <c r="R21" s="194">
        <f>Jikgu_2606!X12*VLOOKUP($D21,단가!$B:$E,4,0)</f>
        <v>0</v>
      </c>
      <c r="S21" s="194">
        <f>Jikgu_2606!Y12*VLOOKUP($D21,단가!$B:$E,4,0)</f>
        <v>0</v>
      </c>
      <c r="T21" s="194">
        <f>Jikgu_2606!Z12*VLOOKUP($D21,단가!$B:$E,4,0)</f>
        <v>0</v>
      </c>
      <c r="U21" s="194">
        <f>Jikgu_2606!AA12*VLOOKUP($D21,단가!$B:$E,4,0)</f>
        <v>0</v>
      </c>
      <c r="V21" s="194">
        <f>Jikgu_2606!AB12*VLOOKUP($D21,단가!$B:$E,4,0)</f>
        <v>0</v>
      </c>
      <c r="W21" s="194">
        <f>Jikgu_2606!AC12*VLOOKUP($D21,단가!$B:$E,4,0)</f>
        <v>0</v>
      </c>
    </row>
    <row r="22" spans="1:23" ht="15.75" customHeight="1">
      <c r="B22" s="870"/>
      <c r="C22" s="190">
        <v>3</v>
      </c>
      <c r="D22" s="640">
        <v>708113</v>
      </c>
      <c r="E22" s="194">
        <f>Jikgu_2606!K13*VLOOKUP($D22,단가!$B:$E,4,0)</f>
        <v>0</v>
      </c>
      <c r="F22" s="194">
        <f>Jikgu_2606!L13*VLOOKUP($D22,단가!$B:$E,4,0)</f>
        <v>0</v>
      </c>
      <c r="G22" s="194">
        <f>Jikgu_2606!M13*VLOOKUP($D22,단가!$B:$E,4,0)</f>
        <v>23862.6</v>
      </c>
      <c r="H22" s="194">
        <f>Jikgu_2606!N13*VLOOKUP($D22,단가!$B:$E,4,0)</f>
        <v>3977.0999999999995</v>
      </c>
      <c r="I22" s="194">
        <f>Jikgu_2606!O13*VLOOKUP($D22,단가!$B:$E,4,0)</f>
        <v>0</v>
      </c>
      <c r="J22" s="194">
        <f>Jikgu_2606!P13*VLOOKUP($D22,단가!$B:$E,4,0)</f>
        <v>7954.1999999999989</v>
      </c>
      <c r="K22" s="194">
        <f>Jikgu_2606!Q13*VLOOKUP($D22,단가!$B:$E,4,0)</f>
        <v>0</v>
      </c>
      <c r="L22" s="194">
        <f>Jikgu_2606!R13*VLOOKUP($D22,단가!$B:$E,4,0)</f>
        <v>0</v>
      </c>
      <c r="M22" s="194">
        <f>Jikgu_2606!S13*VLOOKUP($D22,단가!$B:$E,4,0)</f>
        <v>67610.7</v>
      </c>
      <c r="N22" s="194">
        <f>Jikgu_2606!T13*VLOOKUP($D22,단가!$B:$E,4,0)</f>
        <v>0</v>
      </c>
      <c r="O22" s="194">
        <f>Jikgu_2606!U13*VLOOKUP($D22,단가!$B:$E,4,0)</f>
        <v>0</v>
      </c>
      <c r="P22" s="194">
        <f>Jikgu_2606!V13*VLOOKUP($D22,단가!$B:$E,4,0)</f>
        <v>0</v>
      </c>
      <c r="Q22" s="194">
        <f>Jikgu_2606!W13*VLOOKUP($D22,단가!$B:$E,4,0)</f>
        <v>0</v>
      </c>
      <c r="R22" s="194">
        <f>Jikgu_2606!X13*VLOOKUP($D22,단가!$B:$E,4,0)</f>
        <v>0</v>
      </c>
      <c r="S22" s="194">
        <f>Jikgu_2606!Y13*VLOOKUP($D22,단가!$B:$E,4,0)</f>
        <v>0</v>
      </c>
      <c r="T22" s="194">
        <f>Jikgu_2606!Z13*VLOOKUP($D22,단가!$B:$E,4,0)</f>
        <v>0</v>
      </c>
      <c r="U22" s="194">
        <f>Jikgu_2606!AA13*VLOOKUP($D22,단가!$B:$E,4,0)</f>
        <v>0</v>
      </c>
      <c r="V22" s="194">
        <f>Jikgu_2606!AB13*VLOOKUP($D22,단가!$B:$E,4,0)</f>
        <v>0</v>
      </c>
      <c r="W22" s="194">
        <f>Jikgu_2606!AC13*VLOOKUP($D22,단가!$B:$E,4,0)</f>
        <v>0</v>
      </c>
    </row>
    <row r="23" spans="1:23" ht="15.75" customHeight="1">
      <c r="B23" s="977" t="s">
        <v>32</v>
      </c>
      <c r="C23" s="205" t="s">
        <v>110</v>
      </c>
      <c r="D23" s="640">
        <v>677044</v>
      </c>
      <c r="E23" s="194">
        <f>Jikgu_2606!K14*19.88</f>
        <v>83973.119999999995</v>
      </c>
      <c r="F23" s="194">
        <f>Jikgu_2606!L14*19.88</f>
        <v>279830.88</v>
      </c>
      <c r="G23" s="194">
        <f>Jikgu_2606!M14*19.88</f>
        <v>206036.31999999998</v>
      </c>
      <c r="H23" s="194">
        <f>Jikgu_2606!N14*19.88</f>
        <v>513381.12</v>
      </c>
      <c r="I23" s="194">
        <f>Jikgu_2606!O14*19.88</f>
        <v>338675.68</v>
      </c>
      <c r="J23" s="194">
        <f>Jikgu_2606!P14*19.88</f>
        <v>85563.51999999999</v>
      </c>
      <c r="K23" s="194">
        <f>Jikgu_2606!Q14*19.88</f>
        <v>0</v>
      </c>
      <c r="L23" s="194">
        <f>Jikgu_2606!R14*19.88</f>
        <v>580177.91999999993</v>
      </c>
      <c r="M23" s="194">
        <f>Jikgu_2606!S14*19.88</f>
        <v>0</v>
      </c>
      <c r="N23" s="194">
        <f>Jikgu_2606!T14*VLOOKUP($D23,단가!$B:$E,4,0)</f>
        <v>31054.080000000002</v>
      </c>
      <c r="O23" s="194">
        <f>Jikgu_2606!U14*VLOOKUP($D23,단가!$B:$E,4,0)</f>
        <v>0</v>
      </c>
      <c r="P23" s="194">
        <f>Jikgu_2606!V14*VLOOKUP($D23,단가!$B:$E,4,0)</f>
        <v>0</v>
      </c>
      <c r="Q23" s="194">
        <f>Jikgu_2606!W14*VLOOKUP($D23,단가!$B:$E,4,0)</f>
        <v>0</v>
      </c>
      <c r="R23" s="194">
        <f>Jikgu_2606!X14*VLOOKUP($D23,단가!$B:$E,4,0)</f>
        <v>0</v>
      </c>
      <c r="S23" s="194">
        <f>Jikgu_2606!Y14*VLOOKUP($D23,단가!$B:$E,4,0)</f>
        <v>0</v>
      </c>
      <c r="T23" s="194">
        <f>Jikgu_2606!Z14*VLOOKUP($D23,단가!$B:$E,4,0)</f>
        <v>0</v>
      </c>
      <c r="U23" s="194">
        <f>Jikgu_2606!AA14*VLOOKUP($D23,단가!$B:$E,4,0)</f>
        <v>0</v>
      </c>
      <c r="V23" s="194">
        <f>Jikgu_2606!AB14*VLOOKUP($D23,단가!$B:$E,4,0)</f>
        <v>0</v>
      </c>
      <c r="W23" s="194">
        <f>Jikgu_2606!AC14*VLOOKUP($D23,단가!$B:$E,4,0)</f>
        <v>0</v>
      </c>
    </row>
    <row r="24" spans="1:23" ht="15.75" customHeight="1">
      <c r="B24" s="869"/>
      <c r="C24" s="205">
        <v>1</v>
      </c>
      <c r="D24" s="640">
        <v>677045</v>
      </c>
      <c r="E24" s="194">
        <f>Jikgu_2606!K15*19.88</f>
        <v>655801.43999999994</v>
      </c>
      <c r="F24" s="194">
        <f>Jikgu_2606!L15*19.88</f>
        <v>91607.039999999994</v>
      </c>
      <c r="G24" s="194">
        <f>Jikgu_2606!M15*19.88</f>
        <v>450401.27999999997</v>
      </c>
      <c r="H24" s="194">
        <f>Jikgu_2606!N15*19.88</f>
        <v>1661252.3199999998</v>
      </c>
      <c r="I24" s="194">
        <f>Jikgu_2606!O15*19.88</f>
        <v>466146.24</v>
      </c>
      <c r="J24" s="194">
        <f>Jikgu_2606!P15*19.88</f>
        <v>0</v>
      </c>
      <c r="K24" s="194">
        <f>Jikgu_2606!Q15*19.88</f>
        <v>0</v>
      </c>
      <c r="L24" s="194">
        <f>Jikgu_2606!R15*19.88</f>
        <v>606896.64000000001</v>
      </c>
      <c r="M24" s="194">
        <f>Jikgu_2606!S15*19.88</f>
        <v>0</v>
      </c>
      <c r="N24" s="194">
        <f>Jikgu_2606!T15*VLOOKUP($D24,단가!$B:$E,4,0)</f>
        <v>209615.04</v>
      </c>
      <c r="O24" s="194">
        <f>Jikgu_2606!U15*VLOOKUP($D24,단가!$B:$E,4,0)</f>
        <v>0</v>
      </c>
      <c r="P24" s="194">
        <f>Jikgu_2606!V15*VLOOKUP($D24,단가!$B:$E,4,0)</f>
        <v>0</v>
      </c>
      <c r="Q24" s="194">
        <f>Jikgu_2606!W15*VLOOKUP($D24,단가!$B:$E,4,0)</f>
        <v>0</v>
      </c>
      <c r="R24" s="194">
        <f>Jikgu_2606!X15*VLOOKUP($D24,단가!$B:$E,4,0)</f>
        <v>0</v>
      </c>
      <c r="S24" s="194">
        <f>Jikgu_2606!Y15*VLOOKUP($D24,단가!$B:$E,4,0)</f>
        <v>0</v>
      </c>
      <c r="T24" s="194">
        <f>Jikgu_2606!Z15*VLOOKUP($D24,단가!$B:$E,4,0)</f>
        <v>0</v>
      </c>
      <c r="U24" s="194">
        <f>Jikgu_2606!AA15*VLOOKUP($D24,단가!$B:$E,4,0)</f>
        <v>0</v>
      </c>
      <c r="V24" s="194">
        <f>Jikgu_2606!AB15*VLOOKUP($D24,단가!$B:$E,4,0)</f>
        <v>0</v>
      </c>
      <c r="W24" s="194">
        <f>Jikgu_2606!AC15*VLOOKUP($D24,단가!$B:$E,4,0)</f>
        <v>0</v>
      </c>
    </row>
    <row r="25" spans="1:23" ht="15.75" customHeight="1">
      <c r="B25" s="869"/>
      <c r="C25" s="205">
        <v>2</v>
      </c>
      <c r="D25" s="640">
        <v>677047</v>
      </c>
      <c r="E25" s="194">
        <f>Jikgu_2606!K16*19.88</f>
        <v>274821.12</v>
      </c>
      <c r="F25" s="194">
        <f>Jikgu_2606!L16*19.88</f>
        <v>903188.15999999992</v>
      </c>
      <c r="G25" s="194">
        <f>Jikgu_2606!M16*19.88</f>
        <v>870266.88</v>
      </c>
      <c r="H25" s="194">
        <f>Jikgu_2606!N16*19.88</f>
        <v>763392</v>
      </c>
      <c r="I25" s="194">
        <f>Jikgu_2606!O16*19.88</f>
        <v>418116.16</v>
      </c>
      <c r="J25" s="194">
        <f>Jikgu_2606!P16*19.88</f>
        <v>589004.64</v>
      </c>
      <c r="K25" s="194">
        <f>Jikgu_2606!Q16*19.88</f>
        <v>112520.79999999999</v>
      </c>
      <c r="L25" s="194">
        <f>Jikgu_2606!R16*19.88</f>
        <v>658505.12</v>
      </c>
      <c r="M25" s="194">
        <f>Jikgu_2606!S16*19.88</f>
        <v>0</v>
      </c>
      <c r="N25" s="194">
        <f>Jikgu_2606!T16*VLOOKUP($D25,단가!$B:$E,4,0)</f>
        <v>287250.24</v>
      </c>
      <c r="O25" s="194">
        <f>Jikgu_2606!U16*VLOOKUP($D25,단가!$B:$E,4,0)</f>
        <v>0</v>
      </c>
      <c r="P25" s="194">
        <f>Jikgu_2606!V16*VLOOKUP($D25,단가!$B:$E,4,0)</f>
        <v>0</v>
      </c>
      <c r="Q25" s="194">
        <f>Jikgu_2606!W16*VLOOKUP($D25,단가!$B:$E,4,0)</f>
        <v>0</v>
      </c>
      <c r="R25" s="194">
        <f>Jikgu_2606!X16*VLOOKUP($D25,단가!$B:$E,4,0)</f>
        <v>0</v>
      </c>
      <c r="S25" s="194">
        <f>Jikgu_2606!Y16*VLOOKUP($D25,단가!$B:$E,4,0)</f>
        <v>0</v>
      </c>
      <c r="T25" s="194">
        <f>Jikgu_2606!Z16*VLOOKUP($D25,단가!$B:$E,4,0)</f>
        <v>0</v>
      </c>
      <c r="U25" s="194">
        <f>Jikgu_2606!AA16*VLOOKUP($D25,단가!$B:$E,4,0)</f>
        <v>0</v>
      </c>
      <c r="V25" s="194">
        <f>Jikgu_2606!AB16*VLOOKUP($D25,단가!$B:$E,4,0)</f>
        <v>0</v>
      </c>
      <c r="W25" s="194">
        <f>Jikgu_2606!AC16*VLOOKUP($D25,단가!$B:$E,4,0)</f>
        <v>0</v>
      </c>
    </row>
    <row r="26" spans="1:23" ht="15.75" customHeight="1">
      <c r="B26" s="869"/>
      <c r="C26" s="205" t="s">
        <v>131</v>
      </c>
      <c r="D26" s="640">
        <v>698408</v>
      </c>
      <c r="E26" s="194">
        <f>Jikgu_2606!K17*VLOOKUP($D26,단가!$B:$E,4,0)</f>
        <v>0</v>
      </c>
      <c r="F26" s="194">
        <f>Jikgu_2606!L17*VLOOKUP($D26,단가!$B:$E,4,0)</f>
        <v>0</v>
      </c>
      <c r="G26" s="194">
        <f>Jikgu_2606!M17*VLOOKUP($D26,단가!$B:$E,4,0)</f>
        <v>0</v>
      </c>
      <c r="H26" s="194">
        <f>Jikgu_2606!N17*VLOOKUP($D26,단가!$B:$E,4,0)</f>
        <v>0</v>
      </c>
      <c r="I26" s="194">
        <f>Jikgu_2606!O17*VLOOKUP($D26,단가!$B:$E,4,0)</f>
        <v>0</v>
      </c>
      <c r="J26" s="194">
        <f>Jikgu_2606!P17*VLOOKUP($D26,단가!$B:$E,4,0)</f>
        <v>0</v>
      </c>
      <c r="K26" s="194">
        <f>Jikgu_2606!Q17*VLOOKUP($D26,단가!$B:$E,4,0)</f>
        <v>0</v>
      </c>
      <c r="L26" s="194">
        <f>Jikgu_2606!R17*VLOOKUP($D26,단가!$B:$E,4,0)</f>
        <v>0</v>
      </c>
      <c r="M26" s="194">
        <f>Jikgu_2606!S17*VLOOKUP($D26,단가!$B:$E,4,0)</f>
        <v>0</v>
      </c>
      <c r="N26" s="194">
        <f>Jikgu_2606!T17*VLOOKUP($D26,단가!$B:$E,4,0)</f>
        <v>0</v>
      </c>
      <c r="O26" s="194">
        <f>Jikgu_2606!U17*VLOOKUP($D26,단가!$B:$E,4,0)</f>
        <v>0</v>
      </c>
      <c r="P26" s="194">
        <f>Jikgu_2606!V17*VLOOKUP($D26,단가!$B:$E,4,0)</f>
        <v>0</v>
      </c>
      <c r="Q26" s="194">
        <f>Jikgu_2606!W17*VLOOKUP($D26,단가!$B:$E,4,0)</f>
        <v>0</v>
      </c>
      <c r="R26" s="194">
        <f>Jikgu_2606!X17*VLOOKUP($D26,단가!$B:$E,4,0)</f>
        <v>0</v>
      </c>
      <c r="S26" s="194">
        <f>Jikgu_2606!Y17*VLOOKUP($D26,단가!$B:$E,4,0)</f>
        <v>0</v>
      </c>
      <c r="T26" s="194">
        <f>Jikgu_2606!Z17*VLOOKUP($D26,단가!$B:$E,4,0)</f>
        <v>0</v>
      </c>
      <c r="U26" s="194">
        <f>Jikgu_2606!AA17*VLOOKUP($D26,단가!$B:$E,4,0)</f>
        <v>0</v>
      </c>
      <c r="V26" s="194">
        <f>Jikgu_2606!AB17*VLOOKUP($D26,단가!$B:$E,4,0)</f>
        <v>0</v>
      </c>
      <c r="W26" s="194">
        <f>Jikgu_2606!AC17*VLOOKUP($D26,단가!$B:$E,4,0)</f>
        <v>0</v>
      </c>
    </row>
    <row r="27" spans="1:23" ht="15.75" customHeight="1">
      <c r="B27" s="870"/>
      <c r="C27" s="205" t="s">
        <v>143</v>
      </c>
      <c r="D27" s="640">
        <v>698409</v>
      </c>
      <c r="E27" s="194">
        <f>Jikgu_2606!K18*VLOOKUP($D27,단가!$B:$E,4,0)</f>
        <v>0</v>
      </c>
      <c r="F27" s="194">
        <f>Jikgu_2606!L18*VLOOKUP($D27,단가!$B:$E,4,0)</f>
        <v>0</v>
      </c>
      <c r="G27" s="194">
        <f>Jikgu_2606!M18*VLOOKUP($D27,단가!$B:$E,4,0)</f>
        <v>0</v>
      </c>
      <c r="H27" s="194">
        <f>Jikgu_2606!N18*VLOOKUP($D27,단가!$B:$E,4,0)</f>
        <v>0</v>
      </c>
      <c r="I27" s="194">
        <f>Jikgu_2606!O18*VLOOKUP($D27,단가!$B:$E,4,0)</f>
        <v>0</v>
      </c>
      <c r="J27" s="194">
        <f>Jikgu_2606!P18*VLOOKUP($D27,단가!$B:$E,4,0)</f>
        <v>0</v>
      </c>
      <c r="K27" s="194">
        <f>Jikgu_2606!Q18*VLOOKUP($D27,단가!$B:$E,4,0)</f>
        <v>0</v>
      </c>
      <c r="L27" s="194">
        <f>Jikgu_2606!R18*VLOOKUP($D27,단가!$B:$E,4,0)</f>
        <v>0</v>
      </c>
      <c r="M27" s="194">
        <f>Jikgu_2606!S18*VLOOKUP($D27,단가!$B:$E,4,0)</f>
        <v>0</v>
      </c>
      <c r="N27" s="194">
        <f>Jikgu_2606!T18*VLOOKUP($D27,단가!$B:$E,4,0)</f>
        <v>0</v>
      </c>
      <c r="O27" s="194">
        <f>Jikgu_2606!U18*VLOOKUP($D27,단가!$B:$E,4,0)</f>
        <v>0</v>
      </c>
      <c r="P27" s="194">
        <f>Jikgu_2606!V18*VLOOKUP($D27,단가!$B:$E,4,0)</f>
        <v>0</v>
      </c>
      <c r="Q27" s="194">
        <f>Jikgu_2606!W18*VLOOKUP($D27,단가!$B:$E,4,0)</f>
        <v>0</v>
      </c>
      <c r="R27" s="194">
        <f>Jikgu_2606!X18*VLOOKUP($D27,단가!$B:$E,4,0)</f>
        <v>0</v>
      </c>
      <c r="S27" s="194">
        <f>Jikgu_2606!Y18*VLOOKUP($D27,단가!$B:$E,4,0)</f>
        <v>0</v>
      </c>
      <c r="T27" s="194">
        <f>Jikgu_2606!Z18*VLOOKUP($D27,단가!$B:$E,4,0)</f>
        <v>0</v>
      </c>
      <c r="U27" s="194">
        <f>Jikgu_2606!AA18*VLOOKUP($D27,단가!$B:$E,4,0)</f>
        <v>0</v>
      </c>
      <c r="V27" s="194">
        <f>Jikgu_2606!AB18*VLOOKUP($D27,단가!$B:$E,4,0)</f>
        <v>0</v>
      </c>
      <c r="W27" s="194">
        <f>Jikgu_2606!AC18*VLOOKUP($D27,단가!$B:$E,4,0)</f>
        <v>0</v>
      </c>
    </row>
    <row r="28" spans="1:23" ht="15.75" customHeight="1">
      <c r="B28" s="978" t="s">
        <v>132</v>
      </c>
      <c r="C28" s="210" t="s">
        <v>133</v>
      </c>
      <c r="D28" s="640">
        <v>653156</v>
      </c>
      <c r="E28" s="194">
        <f>Jikgu_2606!K19*VLOOKUP($D28,단가!$B:$E,4,0)</f>
        <v>0</v>
      </c>
      <c r="F28" s="194">
        <f>Jikgu_2606!L19*VLOOKUP($D28,단가!$B:$E,4,0)</f>
        <v>8709.1200000000008</v>
      </c>
      <c r="G28" s="194">
        <f>Jikgu_2606!M19*VLOOKUP($D28,단가!$B:$E,4,0)</f>
        <v>0</v>
      </c>
      <c r="H28" s="194">
        <f>Jikgu_2606!N19*VLOOKUP($D28,단가!$B:$E,4,0)</f>
        <v>0</v>
      </c>
      <c r="I28" s="194">
        <f>Jikgu_2606!O19*VLOOKUP($D28,단가!$B:$E,4,0)</f>
        <v>0</v>
      </c>
      <c r="J28" s="194">
        <f>Jikgu_2606!P19*VLOOKUP($D28,단가!$B:$E,4,0)</f>
        <v>0</v>
      </c>
      <c r="K28" s="194">
        <f>Jikgu_2606!Q19*VLOOKUP($D28,단가!$B:$E,4,0)</f>
        <v>0</v>
      </c>
      <c r="L28" s="194">
        <f>Jikgu_2606!R19*VLOOKUP($D28,단가!$B:$E,4,0)</f>
        <v>0</v>
      </c>
      <c r="M28" s="194">
        <f>Jikgu_2606!S19*VLOOKUP($D28,단가!$B:$E,4,0)</f>
        <v>0</v>
      </c>
      <c r="N28" s="194">
        <f>Jikgu_2606!T19*VLOOKUP($D28,단가!$B:$E,4,0)</f>
        <v>26127.360000000001</v>
      </c>
      <c r="O28" s="194">
        <f>Jikgu_2606!U19*VLOOKUP($D28,단가!$B:$E,4,0)</f>
        <v>0</v>
      </c>
      <c r="P28" s="194">
        <f>Jikgu_2606!V19*VLOOKUP($D28,단가!$B:$E,4,0)</f>
        <v>0</v>
      </c>
      <c r="Q28" s="194">
        <f>Jikgu_2606!W19*VLOOKUP($D28,단가!$B:$E,4,0)</f>
        <v>0</v>
      </c>
      <c r="R28" s="194">
        <f>Jikgu_2606!X19*VLOOKUP($D28,단가!$B:$E,4,0)</f>
        <v>0</v>
      </c>
      <c r="S28" s="194">
        <f>Jikgu_2606!Y19*VLOOKUP($D28,단가!$B:$E,4,0)</f>
        <v>0</v>
      </c>
      <c r="T28" s="194">
        <f>Jikgu_2606!Z19*VLOOKUP($D28,단가!$B:$E,4,0)</f>
        <v>0</v>
      </c>
      <c r="U28" s="194">
        <f>Jikgu_2606!AA19*VLOOKUP($D28,단가!$B:$E,4,0)</f>
        <v>0</v>
      </c>
      <c r="V28" s="194">
        <f>Jikgu_2606!AB19*VLOOKUP($D28,단가!$B:$E,4,0)</f>
        <v>0</v>
      </c>
      <c r="W28" s="194">
        <f>Jikgu_2606!AC19*VLOOKUP($D28,단가!$B:$E,4,0)</f>
        <v>0</v>
      </c>
    </row>
    <row r="29" spans="1:23" ht="15.75" customHeight="1">
      <c r="B29" s="870"/>
      <c r="C29" s="210" t="s">
        <v>134</v>
      </c>
      <c r="D29" s="640">
        <v>653299</v>
      </c>
      <c r="E29" s="194">
        <f>Jikgu_2606!K20*VLOOKUP($D29,단가!$B:$E,4,0)</f>
        <v>0</v>
      </c>
      <c r="F29" s="194">
        <f>Jikgu_2606!L20*VLOOKUP($D29,단가!$B:$E,4,0)</f>
        <v>0</v>
      </c>
      <c r="G29" s="194">
        <f>Jikgu_2606!M20*VLOOKUP($D29,단가!$B:$E,4,0)</f>
        <v>8709.1200000000008</v>
      </c>
      <c r="H29" s="194">
        <f>Jikgu_2606!N20*VLOOKUP($D29,단가!$B:$E,4,0)</f>
        <v>8709.1200000000008</v>
      </c>
      <c r="I29" s="194">
        <f>Jikgu_2606!O20*VLOOKUP($D29,단가!$B:$E,4,0)</f>
        <v>0</v>
      </c>
      <c r="J29" s="194">
        <f>Jikgu_2606!P20*VLOOKUP($D29,단가!$B:$E,4,0)</f>
        <v>0</v>
      </c>
      <c r="K29" s="194">
        <f>Jikgu_2606!Q20*VLOOKUP($D29,단가!$B:$E,4,0)</f>
        <v>0</v>
      </c>
      <c r="L29" s="194">
        <f>Jikgu_2606!R20*VLOOKUP($D29,단가!$B:$E,4,0)</f>
        <v>0</v>
      </c>
      <c r="M29" s="194">
        <f>Jikgu_2606!S20*VLOOKUP($D29,단가!$B:$E,4,0)</f>
        <v>0</v>
      </c>
      <c r="N29" s="194">
        <f>Jikgu_2606!T20*VLOOKUP($D29,단가!$B:$E,4,0)</f>
        <v>0</v>
      </c>
      <c r="O29" s="194">
        <f>Jikgu_2606!U20*VLOOKUP($D29,단가!$B:$E,4,0)</f>
        <v>0</v>
      </c>
      <c r="P29" s="194">
        <f>Jikgu_2606!V20*VLOOKUP($D29,단가!$B:$E,4,0)</f>
        <v>0</v>
      </c>
      <c r="Q29" s="194">
        <f>Jikgu_2606!W20*VLOOKUP($D29,단가!$B:$E,4,0)</f>
        <v>0</v>
      </c>
      <c r="R29" s="194">
        <f>Jikgu_2606!X20*VLOOKUP($D29,단가!$B:$E,4,0)</f>
        <v>0</v>
      </c>
      <c r="S29" s="194">
        <f>Jikgu_2606!Y20*VLOOKUP($D29,단가!$B:$E,4,0)</f>
        <v>0</v>
      </c>
      <c r="T29" s="194">
        <f>Jikgu_2606!Z20*VLOOKUP($D29,단가!$B:$E,4,0)</f>
        <v>8709.1200000000008</v>
      </c>
      <c r="U29" s="194">
        <f>Jikgu_2606!AA20*VLOOKUP($D29,단가!$B:$E,4,0)</f>
        <v>0</v>
      </c>
      <c r="V29" s="194">
        <f>Jikgu_2606!AB20*VLOOKUP($D29,단가!$B:$E,4,0)</f>
        <v>0</v>
      </c>
      <c r="W29" s="194">
        <f>Jikgu_2606!AC20*VLOOKUP($D29,단가!$B:$E,4,0)</f>
        <v>0</v>
      </c>
    </row>
    <row r="30" spans="1:23" ht="15.75" customHeight="1">
      <c r="B30" s="979" t="s">
        <v>135</v>
      </c>
      <c r="C30" s="217" t="s">
        <v>136</v>
      </c>
      <c r="D30" s="640">
        <v>663243</v>
      </c>
      <c r="E30" s="194">
        <f>Jikgu_2606!K21*VLOOKUP($D30,단가!$B:$E,4,0)</f>
        <v>0</v>
      </c>
      <c r="F30" s="194">
        <f>Jikgu_2606!L21*VLOOKUP($D30,단가!$B:$E,4,0)</f>
        <v>0</v>
      </c>
      <c r="G30" s="194">
        <f>Jikgu_2606!M21*VLOOKUP($D30,단가!$B:$E,4,0)</f>
        <v>5285.28</v>
      </c>
      <c r="H30" s="194">
        <f>Jikgu_2606!N21*VLOOKUP($D30,단가!$B:$E,4,0)</f>
        <v>0</v>
      </c>
      <c r="I30" s="194">
        <f>Jikgu_2606!O21*VLOOKUP($D30,단가!$B:$E,4,0)</f>
        <v>5285.28</v>
      </c>
      <c r="J30" s="194">
        <f>Jikgu_2606!P21*VLOOKUP($D30,단가!$B:$E,4,0)</f>
        <v>10570.56</v>
      </c>
      <c r="K30" s="194">
        <f>Jikgu_2606!Q21*VLOOKUP($D30,단가!$B:$E,4,0)</f>
        <v>0</v>
      </c>
      <c r="L30" s="194">
        <f>Jikgu_2606!R21*VLOOKUP($D30,단가!$B:$E,4,0)</f>
        <v>0</v>
      </c>
      <c r="M30" s="194">
        <f>Jikgu_2606!S21*VLOOKUP($D30,단가!$B:$E,4,0)</f>
        <v>0</v>
      </c>
      <c r="N30" s="194">
        <f>Jikgu_2606!T21*VLOOKUP($D30,단가!$B:$E,4,0)</f>
        <v>5285.28</v>
      </c>
      <c r="O30" s="194">
        <f>Jikgu_2606!U21*VLOOKUP($D30,단가!$B:$E,4,0)</f>
        <v>0</v>
      </c>
      <c r="P30" s="194">
        <f>Jikgu_2606!V21*VLOOKUP($D30,단가!$B:$E,4,0)</f>
        <v>0</v>
      </c>
      <c r="Q30" s="194">
        <f>Jikgu_2606!W21*VLOOKUP($D30,단가!$B:$E,4,0)</f>
        <v>0</v>
      </c>
      <c r="R30" s="194">
        <f>Jikgu_2606!X21*VLOOKUP($D30,단가!$B:$E,4,0)</f>
        <v>0</v>
      </c>
      <c r="S30" s="194">
        <f>Jikgu_2606!Y21*VLOOKUP($D30,단가!$B:$E,4,0)</f>
        <v>0</v>
      </c>
      <c r="T30" s="194">
        <f>Jikgu_2606!Z21*VLOOKUP($D30,단가!$B:$E,4,0)</f>
        <v>0</v>
      </c>
      <c r="U30" s="194">
        <f>Jikgu_2606!AA21*VLOOKUP($D30,단가!$B:$E,4,0)</f>
        <v>5285.28</v>
      </c>
      <c r="V30" s="194">
        <f>Jikgu_2606!AB21*VLOOKUP($D30,단가!$B:$E,4,0)</f>
        <v>0</v>
      </c>
      <c r="W30" s="194">
        <f>Jikgu_2606!AC21*VLOOKUP($D30,단가!$B:$E,4,0)</f>
        <v>0</v>
      </c>
    </row>
    <row r="31" spans="1:23" ht="15.75" customHeight="1">
      <c r="B31" s="869"/>
      <c r="C31" s="217" t="s">
        <v>137</v>
      </c>
      <c r="D31" s="640">
        <v>672129</v>
      </c>
      <c r="E31" s="194">
        <f>Jikgu_2606!K22*VLOOKUP($D31,단가!$B:$E,4,0)</f>
        <v>0</v>
      </c>
      <c r="F31" s="194">
        <f>Jikgu_2606!L22*VLOOKUP($D31,단가!$B:$E,4,0)</f>
        <v>0</v>
      </c>
      <c r="G31" s="194">
        <f>Jikgu_2606!M22*VLOOKUP($D31,단가!$B:$E,4,0)</f>
        <v>5285.28</v>
      </c>
      <c r="H31" s="194">
        <f>Jikgu_2606!N22*VLOOKUP($D31,단가!$B:$E,4,0)</f>
        <v>0</v>
      </c>
      <c r="I31" s="194">
        <f>Jikgu_2606!O22*VLOOKUP($D31,단가!$B:$E,4,0)</f>
        <v>5285.28</v>
      </c>
      <c r="J31" s="194">
        <f>Jikgu_2606!P22*VLOOKUP($D31,단가!$B:$E,4,0)</f>
        <v>10570.56</v>
      </c>
      <c r="K31" s="194">
        <f>Jikgu_2606!Q22*VLOOKUP($D31,단가!$B:$E,4,0)</f>
        <v>0</v>
      </c>
      <c r="L31" s="194">
        <f>Jikgu_2606!R22*VLOOKUP($D31,단가!$B:$E,4,0)</f>
        <v>0</v>
      </c>
      <c r="M31" s="194">
        <f>Jikgu_2606!S22*VLOOKUP($D31,단가!$B:$E,4,0)</f>
        <v>0</v>
      </c>
      <c r="N31" s="194">
        <f>Jikgu_2606!T22*VLOOKUP($D31,단가!$B:$E,4,0)</f>
        <v>5285.28</v>
      </c>
      <c r="O31" s="194">
        <f>Jikgu_2606!U22*VLOOKUP($D31,단가!$B:$E,4,0)</f>
        <v>0</v>
      </c>
      <c r="P31" s="194">
        <f>Jikgu_2606!V22*VLOOKUP($D31,단가!$B:$E,4,0)</f>
        <v>0</v>
      </c>
      <c r="Q31" s="194">
        <f>Jikgu_2606!W22*VLOOKUP($D31,단가!$B:$E,4,0)</f>
        <v>0</v>
      </c>
      <c r="R31" s="194">
        <f>Jikgu_2606!X22*VLOOKUP($D31,단가!$B:$E,4,0)</f>
        <v>0</v>
      </c>
      <c r="S31" s="194">
        <f>Jikgu_2606!Y22*VLOOKUP($D31,단가!$B:$E,4,0)</f>
        <v>0</v>
      </c>
      <c r="T31" s="194">
        <f>Jikgu_2606!Z22*VLOOKUP($D31,단가!$B:$E,4,0)</f>
        <v>0</v>
      </c>
      <c r="U31" s="194">
        <f>Jikgu_2606!AA22*VLOOKUP($D31,단가!$B:$E,4,0)</f>
        <v>5285.28</v>
      </c>
      <c r="V31" s="194">
        <f>Jikgu_2606!AB22*VLOOKUP($D31,단가!$B:$E,4,0)</f>
        <v>0</v>
      </c>
      <c r="W31" s="194">
        <f>Jikgu_2606!AC22*VLOOKUP($D31,단가!$B:$E,4,0)</f>
        <v>0</v>
      </c>
    </row>
    <row r="32" spans="1:23" ht="15.75" customHeight="1">
      <c r="B32" s="869"/>
      <c r="C32" s="217" t="s">
        <v>138</v>
      </c>
      <c r="D32" s="640">
        <v>672127</v>
      </c>
      <c r="E32" s="194">
        <f>Jikgu_2606!K23*VLOOKUP($D32,단가!$B:$E,4,0)</f>
        <v>0</v>
      </c>
      <c r="F32" s="194">
        <f>Jikgu_2606!L23*VLOOKUP($D32,단가!$B:$E,4,0)</f>
        <v>0</v>
      </c>
      <c r="G32" s="194">
        <f>Jikgu_2606!M23*VLOOKUP($D32,단가!$B:$E,4,0)</f>
        <v>5285.28</v>
      </c>
      <c r="H32" s="194">
        <f>Jikgu_2606!N23*VLOOKUP($D32,단가!$B:$E,4,0)</f>
        <v>0</v>
      </c>
      <c r="I32" s="194">
        <f>Jikgu_2606!O23*VLOOKUP($D32,단가!$B:$E,4,0)</f>
        <v>5285.28</v>
      </c>
      <c r="J32" s="194">
        <f>Jikgu_2606!P23*VLOOKUP($D32,단가!$B:$E,4,0)</f>
        <v>0</v>
      </c>
      <c r="K32" s="194">
        <f>Jikgu_2606!Q23*VLOOKUP($D32,단가!$B:$E,4,0)</f>
        <v>0</v>
      </c>
      <c r="L32" s="194">
        <f>Jikgu_2606!R23*VLOOKUP($D32,단가!$B:$E,4,0)</f>
        <v>0</v>
      </c>
      <c r="M32" s="194">
        <f>Jikgu_2606!S23*VLOOKUP($D32,단가!$B:$E,4,0)</f>
        <v>0</v>
      </c>
      <c r="N32" s="194">
        <f>Jikgu_2606!T23*VLOOKUP($D32,단가!$B:$E,4,0)</f>
        <v>5285.28</v>
      </c>
      <c r="O32" s="194">
        <f>Jikgu_2606!U23*VLOOKUP($D32,단가!$B:$E,4,0)</f>
        <v>0</v>
      </c>
      <c r="P32" s="194">
        <f>Jikgu_2606!V23*VLOOKUP($D32,단가!$B:$E,4,0)</f>
        <v>0</v>
      </c>
      <c r="Q32" s="194">
        <f>Jikgu_2606!W23*VLOOKUP($D32,단가!$B:$E,4,0)</f>
        <v>0</v>
      </c>
      <c r="R32" s="194">
        <f>Jikgu_2606!X23*VLOOKUP($D32,단가!$B:$E,4,0)</f>
        <v>0</v>
      </c>
      <c r="S32" s="194">
        <f>Jikgu_2606!Y23*VLOOKUP($D32,단가!$B:$E,4,0)</f>
        <v>0</v>
      </c>
      <c r="T32" s="194">
        <f>Jikgu_2606!Z23*VLOOKUP($D32,단가!$B:$E,4,0)</f>
        <v>0</v>
      </c>
      <c r="U32" s="194">
        <f>Jikgu_2606!AA23*VLOOKUP($D32,단가!$B:$E,4,0)</f>
        <v>10570.56</v>
      </c>
      <c r="V32" s="194">
        <f>Jikgu_2606!AB23*VLOOKUP($D32,단가!$B:$E,4,0)</f>
        <v>0</v>
      </c>
      <c r="W32" s="194">
        <f>Jikgu_2606!AC23*VLOOKUP($D32,단가!$B:$E,4,0)</f>
        <v>0</v>
      </c>
    </row>
    <row r="33" spans="2:23" ht="15.75" customHeight="1">
      <c r="B33" s="870"/>
      <c r="C33" s="217" t="s">
        <v>139</v>
      </c>
      <c r="D33" s="640">
        <v>671574</v>
      </c>
      <c r="E33" s="194">
        <f>Jikgu_2606!K24*VLOOKUP($D33,단가!$B:$E,4,0)</f>
        <v>0</v>
      </c>
      <c r="F33" s="194">
        <f>Jikgu_2606!L24*VLOOKUP($D33,단가!$B:$E,4,0)</f>
        <v>0</v>
      </c>
      <c r="G33" s="194">
        <f>Jikgu_2606!M24*VLOOKUP($D33,단가!$B:$E,4,0)</f>
        <v>5285.28</v>
      </c>
      <c r="H33" s="194">
        <f>Jikgu_2606!N24*VLOOKUP($D33,단가!$B:$E,4,0)</f>
        <v>0</v>
      </c>
      <c r="I33" s="194">
        <f>Jikgu_2606!O24*VLOOKUP($D33,단가!$B:$E,4,0)</f>
        <v>5285.28</v>
      </c>
      <c r="J33" s="194">
        <f>Jikgu_2606!P24*VLOOKUP($D33,단가!$B:$E,4,0)</f>
        <v>0</v>
      </c>
      <c r="K33" s="194">
        <f>Jikgu_2606!Q24*VLOOKUP($D33,단가!$B:$E,4,0)</f>
        <v>0</v>
      </c>
      <c r="L33" s="194">
        <f>Jikgu_2606!R24*VLOOKUP($D33,단가!$B:$E,4,0)</f>
        <v>0</v>
      </c>
      <c r="M33" s="194">
        <f>Jikgu_2606!S24*VLOOKUP($D33,단가!$B:$E,4,0)</f>
        <v>0</v>
      </c>
      <c r="N33" s="194">
        <f>Jikgu_2606!T24*VLOOKUP($D33,단가!$B:$E,4,0)</f>
        <v>5285.28</v>
      </c>
      <c r="O33" s="194">
        <f>Jikgu_2606!U24*VLOOKUP($D33,단가!$B:$E,4,0)</f>
        <v>0</v>
      </c>
      <c r="P33" s="194">
        <f>Jikgu_2606!V24*VLOOKUP($D33,단가!$B:$E,4,0)</f>
        <v>0</v>
      </c>
      <c r="Q33" s="194">
        <f>Jikgu_2606!W24*VLOOKUP($D33,단가!$B:$E,4,0)</f>
        <v>0</v>
      </c>
      <c r="R33" s="194">
        <f>Jikgu_2606!X24*VLOOKUP($D33,단가!$B:$E,4,0)</f>
        <v>0</v>
      </c>
      <c r="S33" s="194">
        <f>Jikgu_2606!Y24*VLOOKUP($D33,단가!$B:$E,4,0)</f>
        <v>0</v>
      </c>
      <c r="T33" s="194">
        <f>Jikgu_2606!Z24*VLOOKUP($D33,단가!$B:$E,4,0)</f>
        <v>0</v>
      </c>
      <c r="U33" s="194">
        <f>Jikgu_2606!AA24*VLOOKUP($D33,단가!$B:$E,4,0)</f>
        <v>10570.56</v>
      </c>
      <c r="V33" s="194">
        <f>Jikgu_2606!AB24*VLOOKUP($D33,단가!$B:$E,4,0)</f>
        <v>0</v>
      </c>
      <c r="W33" s="194">
        <f>Jikgu_2606!AC24*VLOOKUP($D33,단가!$B:$E,4,0)</f>
        <v>0</v>
      </c>
    </row>
    <row r="34" spans="2:23" ht="15.75" customHeight="1">
      <c r="B34" s="948" t="s">
        <v>38</v>
      </c>
      <c r="C34" s="879"/>
      <c r="D34" s="860"/>
      <c r="E34" s="228">
        <f t="shared" ref="E34:W34" si="1">SUM(E15:E33)</f>
        <v>1131080.52</v>
      </c>
      <c r="F34" s="228">
        <f t="shared" si="1"/>
        <v>1283335.2</v>
      </c>
      <c r="G34" s="228">
        <f t="shared" si="1"/>
        <v>1628142.52</v>
      </c>
      <c r="H34" s="228">
        <f t="shared" si="1"/>
        <v>3034407.52</v>
      </c>
      <c r="I34" s="228">
        <f t="shared" si="1"/>
        <v>1526571.14</v>
      </c>
      <c r="J34" s="228">
        <f t="shared" si="1"/>
        <v>827218.72000000009</v>
      </c>
      <c r="K34" s="228">
        <f t="shared" si="1"/>
        <v>187967.86</v>
      </c>
      <c r="L34" s="228">
        <f t="shared" si="1"/>
        <v>1951046.48</v>
      </c>
      <c r="M34" s="228">
        <f t="shared" si="1"/>
        <v>506087.28</v>
      </c>
      <c r="N34" s="228">
        <f t="shared" si="1"/>
        <v>646481.04000000015</v>
      </c>
      <c r="O34" s="228">
        <f t="shared" si="1"/>
        <v>0</v>
      </c>
      <c r="P34" s="228">
        <f t="shared" si="1"/>
        <v>0</v>
      </c>
      <c r="Q34" s="228">
        <f t="shared" si="1"/>
        <v>0</v>
      </c>
      <c r="R34" s="228">
        <f t="shared" si="1"/>
        <v>0</v>
      </c>
      <c r="S34" s="228">
        <f t="shared" si="1"/>
        <v>0</v>
      </c>
      <c r="T34" s="228">
        <f t="shared" si="1"/>
        <v>8709.1200000000008</v>
      </c>
      <c r="U34" s="228">
        <f t="shared" si="1"/>
        <v>31711.68</v>
      </c>
      <c r="V34" s="228">
        <f t="shared" si="1"/>
        <v>0</v>
      </c>
      <c r="W34" s="228">
        <f t="shared" si="1"/>
        <v>0</v>
      </c>
    </row>
    <row r="36" spans="2:23" ht="15.75" customHeight="1">
      <c r="B36" s="181" t="s">
        <v>245</v>
      </c>
    </row>
    <row r="37" spans="2:23" ht="12.75">
      <c r="B37" s="980"/>
      <c r="C37" s="860"/>
      <c r="D37" s="18" t="s">
        <v>394</v>
      </c>
      <c r="E37" s="484" t="s">
        <v>14</v>
      </c>
      <c r="F37" s="484" t="s">
        <v>15</v>
      </c>
      <c r="G37" s="484" t="s">
        <v>16</v>
      </c>
      <c r="H37" s="484" t="s">
        <v>17</v>
      </c>
      <c r="I37" s="18" t="s">
        <v>18</v>
      </c>
      <c r="J37" s="18" t="s">
        <v>19</v>
      </c>
      <c r="K37" s="18" t="s">
        <v>20</v>
      </c>
      <c r="L37" s="18" t="s">
        <v>21</v>
      </c>
      <c r="M37" s="18" t="s">
        <v>22</v>
      </c>
      <c r="N37" s="18" t="s">
        <v>23</v>
      </c>
      <c r="O37" s="18" t="s">
        <v>24</v>
      </c>
      <c r="P37" s="18" t="s">
        <v>25</v>
      </c>
      <c r="Q37" s="18" t="s">
        <v>26</v>
      </c>
      <c r="R37" s="18" t="s">
        <v>15</v>
      </c>
      <c r="S37" s="318" t="s">
        <v>16</v>
      </c>
      <c r="T37" s="318" t="s">
        <v>17</v>
      </c>
      <c r="U37" s="484" t="s">
        <v>18</v>
      </c>
      <c r="V37" s="484" t="s">
        <v>19</v>
      </c>
      <c r="W37" s="484" t="s">
        <v>20</v>
      </c>
    </row>
    <row r="38" spans="2:23" ht="12.75">
      <c r="B38" s="981" t="s">
        <v>261</v>
      </c>
      <c r="C38" s="860"/>
      <c r="D38" s="640">
        <v>117547</v>
      </c>
      <c r="E38" s="298"/>
      <c r="F38" s="298"/>
      <c r="G38" s="298"/>
      <c r="H38" s="194">
        <f>Medical_2608!K7*VLOOKUP($D38,단가!$B:$E,4,0)</f>
        <v>721049.28</v>
      </c>
      <c r="I38" s="194">
        <f>Medical_2608!L7*VLOOKUP($D38,단가!$B:$E,4,0)</f>
        <v>0</v>
      </c>
      <c r="J38" s="194">
        <f>Medical_2608!M7*VLOOKUP($D38,단가!$B:$E,4,0)</f>
        <v>22352527.68</v>
      </c>
      <c r="K38" s="194">
        <f>Medical_2608!N7*VLOOKUP($D38,단가!$B:$E,4,0)</f>
        <v>2163147.84</v>
      </c>
      <c r="L38" s="194">
        <f>Medical_2608!O7*VLOOKUP($D38,단가!$B:$E,4,0)</f>
        <v>10815739.200000001</v>
      </c>
      <c r="M38" s="194">
        <f>Medical_2608!P7*VLOOKUP($D38,단가!$B:$E,4,0)</f>
        <v>7210492.8000000007</v>
      </c>
      <c r="N38" s="194">
        <f>Medical_2608!Q7*VLOOKUP($D38,단가!$B:$E,4,0)</f>
        <v>9013116</v>
      </c>
      <c r="O38" s="194">
        <f>Medical_2608!R7*VLOOKUP($D38,단가!$B:$E,4,0)</f>
        <v>0</v>
      </c>
      <c r="P38" s="194">
        <f>Medical_2608!S7*VLOOKUP($D38,단가!$B:$E,4,0)</f>
        <v>0</v>
      </c>
      <c r="Q38" s="194">
        <f>Medical_2608!T7*VLOOKUP($D38,단가!$B:$E,4,0)</f>
        <v>10815739.200000001</v>
      </c>
      <c r="R38" s="194">
        <f>Medical_2608!U7*VLOOKUP($D38,단가!$B:$E,4,0)</f>
        <v>0</v>
      </c>
      <c r="S38" s="194">
        <f>Medical_2608!V7*VLOOKUP($D38,단가!$B:$E,4,0)</f>
        <v>2163147.84</v>
      </c>
      <c r="T38" s="194">
        <f>Medical_2608!W7*VLOOKUP($D38,단가!$B:$E,4,0)</f>
        <v>0</v>
      </c>
      <c r="U38" s="194">
        <f>Medical_2608!X7*VLOOKUP($D38,단가!$B:$E,4,0)</f>
        <v>0</v>
      </c>
      <c r="V38" s="194">
        <f>Medical_2608!Y7*VLOOKUP($D38,단가!$B:$E,4,0)</f>
        <v>0</v>
      </c>
      <c r="W38" s="194">
        <f>Medical_2608!Z7*VLOOKUP($D38,단가!$B:$E,4,0)</f>
        <v>2523672.48</v>
      </c>
    </row>
    <row r="39" spans="2:23" ht="12.75">
      <c r="B39" s="981" t="s">
        <v>269</v>
      </c>
      <c r="C39" s="860"/>
      <c r="D39" s="640">
        <v>552897</v>
      </c>
      <c r="E39" s="298"/>
      <c r="F39" s="298"/>
      <c r="G39" s="298"/>
      <c r="H39" s="194">
        <f>Medical_2608!K8*VLOOKUP($D39,단가!$B:$E,4,0)</f>
        <v>862341867.38</v>
      </c>
      <c r="I39" s="194">
        <f>Medical_2608!L8*VLOOKUP($D39,단가!$B:$E,4,0)</f>
        <v>170734759</v>
      </c>
      <c r="J39" s="194">
        <f>Medical_2608!M8*VLOOKUP($D39,단가!$B:$E,4,0)</f>
        <v>52533772</v>
      </c>
      <c r="K39" s="194">
        <f>Medical_2608!N8*VLOOKUP($D39,단가!$B:$E,4,0)</f>
        <v>78800658</v>
      </c>
      <c r="L39" s="194">
        <f>Medical_2608!O8*VLOOKUP($D39,단가!$B:$E,4,0)</f>
        <v>0</v>
      </c>
      <c r="M39" s="194">
        <f>Medical_2608!P8*VLOOKUP($D39,단가!$B:$E,4,0)</f>
        <v>0</v>
      </c>
      <c r="N39" s="194">
        <f>Medical_2608!Q8*VLOOKUP($D39,단가!$B:$E,4,0)</f>
        <v>0</v>
      </c>
      <c r="O39" s="194">
        <f>Medical_2608!R8*VLOOKUP($D39,단가!$B:$E,4,0)</f>
        <v>0</v>
      </c>
      <c r="P39" s="194">
        <f>Medical_2608!S8*VLOOKUP($D39,단가!$B:$E,4,0)</f>
        <v>235482632.98999998</v>
      </c>
      <c r="Q39" s="194">
        <f>Medical_2608!T8*VLOOKUP($D39,단가!$B:$E,4,0)</f>
        <v>20094167.789999999</v>
      </c>
      <c r="R39" s="194">
        <f>Medical_2608!U8*VLOOKUP($D39,단가!$B:$E,4,0)</f>
        <v>197001645</v>
      </c>
      <c r="S39" s="194">
        <f>Medical_2608!V8*VLOOKUP($D39,단가!$B:$E,4,0)</f>
        <v>0</v>
      </c>
      <c r="T39" s="194">
        <f>Medical_2608!W8*VLOOKUP($D39,단가!$B:$E,4,0)</f>
        <v>0</v>
      </c>
      <c r="U39" s="194">
        <f>Medical_2608!X8*VLOOKUP($D39,단가!$B:$E,4,0)</f>
        <v>275802303</v>
      </c>
      <c r="V39" s="194">
        <f>Medical_2608!Y8*VLOOKUP($D39,단가!$B:$E,4,0)</f>
        <v>0</v>
      </c>
      <c r="W39" s="194">
        <f>Medical_2608!Z8*VLOOKUP($D39,단가!$B:$E,4,0)</f>
        <v>0</v>
      </c>
    </row>
    <row r="40" spans="2:23" ht="12.75">
      <c r="B40" s="981" t="s">
        <v>270</v>
      </c>
      <c r="C40" s="860"/>
      <c r="D40" s="640">
        <v>117771</v>
      </c>
      <c r="E40" s="298"/>
      <c r="F40" s="298"/>
      <c r="G40" s="298"/>
      <c r="H40" s="194">
        <f>Medical_2608!K9*VLOOKUP($D40,단가!$B:$E,4,0)</f>
        <v>27595623.240000002</v>
      </c>
      <c r="I40" s="194">
        <f>Medical_2608!L9*VLOOKUP($D40,단가!$B:$E,4,0)</f>
        <v>0</v>
      </c>
      <c r="J40" s="194">
        <f>Medical_2608!M9*VLOOKUP($D40,단가!$B:$E,4,0)</f>
        <v>0</v>
      </c>
      <c r="K40" s="194">
        <f>Medical_2608!N9*VLOOKUP($D40,단가!$B:$E,4,0)</f>
        <v>0</v>
      </c>
      <c r="L40" s="194">
        <f>Medical_2608!O9*VLOOKUP($D40,단가!$B:$E,4,0)</f>
        <v>23485636.800000001</v>
      </c>
      <c r="M40" s="194">
        <f>Medical_2608!P9*VLOOKUP($D40,단가!$B:$E,4,0)</f>
        <v>19962791.280000001</v>
      </c>
      <c r="N40" s="194">
        <f>Medical_2608!Q9*VLOOKUP($D40,단가!$B:$E,4,0)</f>
        <v>0</v>
      </c>
      <c r="O40" s="194">
        <f>Medical_2608!R9*VLOOKUP($D40,단가!$B:$E,4,0)</f>
        <v>0</v>
      </c>
      <c r="P40" s="194">
        <f>Medical_2608!S9*VLOOKUP($D40,단가!$B:$E,4,0)</f>
        <v>14678523.000000002</v>
      </c>
      <c r="Q40" s="194">
        <f>Medical_2608!T9*VLOOKUP($D40,단가!$B:$E,4,0)</f>
        <v>0</v>
      </c>
      <c r="R40" s="194">
        <f>Medical_2608!U9*VLOOKUP($D40,단가!$B:$E,4,0)</f>
        <v>2935704.6</v>
      </c>
      <c r="S40" s="194">
        <f>Medical_2608!V9*VLOOKUP($D40,단가!$B:$E,4,0)</f>
        <v>0</v>
      </c>
      <c r="T40" s="194">
        <f>Medical_2608!W9*VLOOKUP($D40,단가!$B:$E,4,0)</f>
        <v>0</v>
      </c>
      <c r="U40" s="194">
        <f>Medical_2608!X9*VLOOKUP($D40,단가!$B:$E,4,0)</f>
        <v>11742818.4</v>
      </c>
      <c r="V40" s="194">
        <f>Medical_2608!Y9*VLOOKUP($D40,단가!$B:$E,4,0)</f>
        <v>0</v>
      </c>
      <c r="W40" s="194">
        <f>Medical_2608!Z9*VLOOKUP($D40,단가!$B:$E,4,0)</f>
        <v>0</v>
      </c>
    </row>
    <row r="41" spans="2:23" ht="12.75">
      <c r="B41" s="981" t="s">
        <v>271</v>
      </c>
      <c r="C41" s="860"/>
      <c r="D41" s="640">
        <v>646546</v>
      </c>
      <c r="E41" s="298"/>
      <c r="F41" s="298"/>
      <c r="G41" s="298"/>
      <c r="H41" s="194">
        <f>Medical_2608!K10*VLOOKUP($D41,단가!$B:$E,4,0)</f>
        <v>6898058.1600000001</v>
      </c>
      <c r="I41" s="194">
        <f>Medical_2608!L10*VLOOKUP($D41,단가!$B:$E,4,0)</f>
        <v>0</v>
      </c>
      <c r="J41" s="194">
        <f>Medical_2608!M10*VLOOKUP($D41,단가!$B:$E,4,0)</f>
        <v>0</v>
      </c>
      <c r="K41" s="194">
        <f>Medical_2608!N10*VLOOKUP($D41,단가!$B:$E,4,0)</f>
        <v>0</v>
      </c>
      <c r="L41" s="194">
        <f>Medical_2608!O10*VLOOKUP($D41,단가!$B:$E,4,0)</f>
        <v>16752426.960000001</v>
      </c>
      <c r="M41" s="194">
        <f>Medical_2608!P10*VLOOKUP($D41,단가!$B:$E,4,0)</f>
        <v>13549757.100000001</v>
      </c>
      <c r="N41" s="194">
        <f>Medical_2608!Q10*VLOOKUP($D41,단가!$B:$E,4,0)</f>
        <v>0</v>
      </c>
      <c r="O41" s="194">
        <f>Medical_2608!R10*VLOOKUP($D41,단가!$B:$E,4,0)</f>
        <v>0</v>
      </c>
      <c r="P41" s="194">
        <f>Medical_2608!S10*VLOOKUP($D41,단가!$B:$E,4,0)</f>
        <v>0</v>
      </c>
      <c r="Q41" s="194">
        <f>Medical_2608!T10*VLOOKUP($D41,단가!$B:$E,4,0)</f>
        <v>0</v>
      </c>
      <c r="R41" s="194">
        <f>Medical_2608!U10*VLOOKUP($D41,단가!$B:$E,4,0)</f>
        <v>0</v>
      </c>
      <c r="S41" s="194">
        <f>Medical_2608!V10*VLOOKUP($D41,단가!$B:$E,4,0)</f>
        <v>4188106.74</v>
      </c>
      <c r="T41" s="194">
        <f>Medical_2608!W10*VLOOKUP($D41,단가!$B:$E,4,0)</f>
        <v>492718.44000000006</v>
      </c>
      <c r="U41" s="194">
        <f>Medical_2608!X10*VLOOKUP($D41,단가!$B:$E,4,0)</f>
        <v>3695388.3000000003</v>
      </c>
      <c r="V41" s="194">
        <f>Medical_2608!Y10*VLOOKUP($D41,단가!$B:$E,4,0)</f>
        <v>2956310.64</v>
      </c>
      <c r="W41" s="194">
        <f>Medical_2608!Z10*VLOOKUP($D41,단가!$B:$E,4,0)</f>
        <v>4188106.74</v>
      </c>
    </row>
    <row r="42" spans="2:23" ht="12.75">
      <c r="B42" s="981" t="s">
        <v>272</v>
      </c>
      <c r="C42" s="860"/>
      <c r="D42" s="640">
        <v>646567</v>
      </c>
      <c r="E42" s="298"/>
      <c r="F42" s="298"/>
      <c r="G42" s="298"/>
      <c r="H42" s="194">
        <f>Medical_2608!K11*VLOOKUP($D42,단가!$B:$E,4,0)</f>
        <v>9909301.8900000006</v>
      </c>
      <c r="I42" s="194">
        <f>Medical_2608!L11*VLOOKUP($D42,단가!$B:$E,4,0)</f>
        <v>0</v>
      </c>
      <c r="J42" s="194">
        <f>Medical_2608!M11*VLOOKUP($D42,단가!$B:$E,4,0)</f>
        <v>6159836.3100000005</v>
      </c>
      <c r="K42" s="194">
        <f>Medical_2608!N11*VLOOKUP($D42,단가!$B:$E,4,0)</f>
        <v>0</v>
      </c>
      <c r="L42" s="194">
        <f>Medical_2608!O11*VLOOKUP($D42,단가!$B:$E,4,0)</f>
        <v>0</v>
      </c>
      <c r="M42" s="194">
        <f>Medical_2608!P11*VLOOKUP($D42,단가!$B:$E,4,0)</f>
        <v>0</v>
      </c>
      <c r="N42" s="194">
        <f>Medical_2608!Q11*VLOOKUP($D42,단가!$B:$E,4,0)</f>
        <v>0</v>
      </c>
      <c r="O42" s="194">
        <f>Medical_2608!R11*VLOOKUP($D42,단가!$B:$E,4,0)</f>
        <v>0</v>
      </c>
      <c r="P42" s="194">
        <f>Medical_2608!S11*VLOOKUP($D42,단가!$B:$E,4,0)</f>
        <v>0</v>
      </c>
      <c r="Q42" s="194">
        <f>Medical_2608!T11*VLOOKUP($D42,단가!$B:$E,4,0)</f>
        <v>25710621.120000001</v>
      </c>
      <c r="R42" s="194">
        <f>Medical_2608!U11*VLOOKUP($D42,단가!$B:$E,4,0)</f>
        <v>0</v>
      </c>
      <c r="S42" s="194">
        <f>Medical_2608!V11*VLOOKUP($D42,단가!$B:$E,4,0)</f>
        <v>0</v>
      </c>
      <c r="T42" s="194">
        <f>Medical_2608!W11*VLOOKUP($D42,단가!$B:$E,4,0)</f>
        <v>0</v>
      </c>
      <c r="U42" s="194">
        <f>Medical_2608!X11*VLOOKUP($D42,단가!$B:$E,4,0)</f>
        <v>0</v>
      </c>
      <c r="V42" s="194">
        <f>Medical_2608!Y11*VLOOKUP($D42,단가!$B:$E,4,0)</f>
        <v>0</v>
      </c>
      <c r="W42" s="194">
        <f>Medical_2608!Z11*VLOOKUP($D42,단가!$B:$E,4,0)</f>
        <v>6159836.3100000005</v>
      </c>
    </row>
    <row r="43" spans="2:23" ht="12.75">
      <c r="B43" s="981" t="s">
        <v>273</v>
      </c>
      <c r="C43" s="860"/>
      <c r="D43" s="640">
        <v>580732</v>
      </c>
      <c r="E43" s="298"/>
      <c r="F43" s="298"/>
      <c r="G43" s="298"/>
      <c r="H43" s="194">
        <f>Medical_2608!K12*VLOOKUP($D43,단가!$B:$E,4,0)</f>
        <v>2111650.08</v>
      </c>
      <c r="I43" s="194">
        <f>Medical_2608!L12*VLOOKUP($D43,단가!$B:$E,4,0)</f>
        <v>0</v>
      </c>
      <c r="J43" s="194">
        <f>Medical_2608!M12*VLOOKUP($D43,단가!$B:$E,4,0)</f>
        <v>2463591.7599999998</v>
      </c>
      <c r="K43" s="194">
        <f>Medical_2608!N12*VLOOKUP($D43,단가!$B:$E,4,0)</f>
        <v>10558250.4</v>
      </c>
      <c r="L43" s="194">
        <f>Medical_2608!O12*VLOOKUP($D43,단가!$B:$E,4,0)</f>
        <v>31674751.199999999</v>
      </c>
      <c r="M43" s="194">
        <f>Medical_2608!P12*VLOOKUP($D43,단가!$B:$E,4,0)</f>
        <v>14781550.560000001</v>
      </c>
      <c r="N43" s="194">
        <f>Medical_2608!Q12*VLOOKUP($D43,단가!$B:$E,4,0)</f>
        <v>0</v>
      </c>
      <c r="O43" s="194">
        <f>Medical_2608!R12*VLOOKUP($D43,단가!$B:$E,4,0)</f>
        <v>0</v>
      </c>
      <c r="P43" s="194">
        <f>Medical_2608!S12*VLOOKUP($D43,단가!$B:$E,4,0)</f>
        <v>0</v>
      </c>
      <c r="Q43" s="194">
        <f>Medical_2608!T12*VLOOKUP($D43,단가!$B:$E,4,0)</f>
        <v>8446600.3200000003</v>
      </c>
      <c r="R43" s="194">
        <f>Medical_2608!U12*VLOOKUP($D43,단가!$B:$E,4,0)</f>
        <v>0</v>
      </c>
      <c r="S43" s="194">
        <f>Medical_2608!V12*VLOOKUP($D43,단가!$B:$E,4,0)</f>
        <v>6334950.2400000002</v>
      </c>
      <c r="T43" s="194">
        <f>Medical_2608!W12*VLOOKUP($D43,단가!$B:$E,4,0)</f>
        <v>0</v>
      </c>
      <c r="U43" s="194">
        <f>Medical_2608!X12*VLOOKUP($D43,단가!$B:$E,4,0)</f>
        <v>8446600.3200000003</v>
      </c>
      <c r="V43" s="194">
        <f>Medical_2608!Y12*VLOOKUP($D43,단가!$B:$E,4,0)</f>
        <v>0</v>
      </c>
      <c r="W43" s="194">
        <f>Medical_2608!Z12*VLOOKUP($D43,단가!$B:$E,4,0)</f>
        <v>12669900.48</v>
      </c>
    </row>
    <row r="44" spans="2:23" ht="12.75">
      <c r="B44" s="981" t="s">
        <v>274</v>
      </c>
      <c r="C44" s="860"/>
      <c r="D44" s="640">
        <v>611174</v>
      </c>
      <c r="E44" s="298"/>
      <c r="F44" s="298"/>
      <c r="G44" s="298"/>
      <c r="H44" s="194">
        <f>Medical_2608!K13*VLOOKUP($D44,단가!$B:$E,4,0)</f>
        <v>0</v>
      </c>
      <c r="I44" s="194">
        <f>Medical_2608!L13*VLOOKUP($D44,단가!$B:$E,4,0)</f>
        <v>0</v>
      </c>
      <c r="J44" s="194">
        <f>Medical_2608!M13*VLOOKUP($D44,단가!$B:$E,4,0)</f>
        <v>0</v>
      </c>
      <c r="K44" s="194">
        <f>Medical_2608!N13*VLOOKUP($D44,단가!$B:$E,4,0)</f>
        <v>387785122.56</v>
      </c>
      <c r="L44" s="194">
        <f>Medical_2608!O13*VLOOKUP($D44,단가!$B:$E,4,0)</f>
        <v>5364616.32</v>
      </c>
      <c r="M44" s="194">
        <f>Medical_2608!P13*VLOOKUP($D44,단가!$B:$E,4,0)</f>
        <v>0</v>
      </c>
      <c r="N44" s="194">
        <f>Medical_2608!Q13*VLOOKUP($D44,단가!$B:$E,4,0)</f>
        <v>0</v>
      </c>
      <c r="O44" s="194">
        <f>Medical_2608!R13*VLOOKUP($D44,단가!$B:$E,4,0)</f>
        <v>382803693.12</v>
      </c>
      <c r="P44" s="194">
        <f>Medical_2608!S13*VLOOKUP($D44,단가!$B:$E,4,0)</f>
        <v>0</v>
      </c>
      <c r="Q44" s="194">
        <f>Medical_2608!T13*VLOOKUP($D44,단가!$B:$E,4,0)</f>
        <v>389317870.08000004</v>
      </c>
      <c r="R44" s="194">
        <f>Medical_2608!U13*VLOOKUP($D44,단가!$B:$E,4,0)</f>
        <v>0</v>
      </c>
      <c r="S44" s="194">
        <f>Medical_2608!V13*VLOOKUP($D44,단가!$B:$E,4,0)</f>
        <v>0</v>
      </c>
      <c r="T44" s="194">
        <f>Medical_2608!W13*VLOOKUP($D44,단가!$B:$E,4,0)</f>
        <v>0</v>
      </c>
      <c r="U44" s="194">
        <f>Medical_2608!X13*VLOOKUP($D44,단가!$B:$E,4,0)</f>
        <v>766373760</v>
      </c>
      <c r="V44" s="194">
        <f>Medical_2608!Y13*VLOOKUP($D44,단가!$B:$E,4,0)</f>
        <v>0</v>
      </c>
      <c r="W44" s="194">
        <f>Medical_2608!Z13*VLOOKUP($D44,단가!$B:$E,4,0)</f>
        <v>0</v>
      </c>
    </row>
    <row r="45" spans="2:23" ht="12.75">
      <c r="B45" s="981" t="s">
        <v>275</v>
      </c>
      <c r="C45" s="860"/>
      <c r="D45" s="640">
        <v>701775</v>
      </c>
      <c r="E45" s="298"/>
      <c r="F45" s="298"/>
      <c r="G45" s="298"/>
      <c r="H45" s="194">
        <f>Medical_2608!K14*VLOOKUP($D45,단가!$B:$E,4,0)</f>
        <v>229659600.42000002</v>
      </c>
      <c r="I45" s="194">
        <f>Medical_2608!L14*VLOOKUP($D45,단가!$B:$E,4,0)</f>
        <v>0</v>
      </c>
      <c r="J45" s="194">
        <f>Medical_2608!M14*VLOOKUP($D45,단가!$B:$E,4,0)</f>
        <v>0</v>
      </c>
      <c r="K45" s="194">
        <f>Medical_2608!N14*VLOOKUP($D45,단가!$B:$E,4,0)</f>
        <v>0</v>
      </c>
      <c r="L45" s="194">
        <f>Medical_2608!O14*VLOOKUP($D45,단가!$B:$E,4,0)</f>
        <v>508958348.40000004</v>
      </c>
      <c r="M45" s="194">
        <f>Medical_2608!P14*VLOOKUP($D45,단가!$B:$E,4,0)</f>
        <v>101791669.68000001</v>
      </c>
      <c r="N45" s="194">
        <f>Medical_2608!Q14*VLOOKUP($D45,단가!$B:$E,4,0)</f>
        <v>0</v>
      </c>
      <c r="O45" s="194">
        <f>Medical_2608!R14*VLOOKUP($D45,단가!$B:$E,4,0)</f>
        <v>0</v>
      </c>
      <c r="P45" s="194">
        <f>Medical_2608!S14*VLOOKUP($D45,단가!$B:$E,4,0)</f>
        <v>0</v>
      </c>
      <c r="Q45" s="194">
        <f>Medical_2608!T14*VLOOKUP($D45,단가!$B:$E,4,0)</f>
        <v>241283957.75999999</v>
      </c>
      <c r="R45" s="194">
        <f>Medical_2608!U14*VLOOKUP($D45,단가!$B:$E,4,0)</f>
        <v>0</v>
      </c>
      <c r="S45" s="194">
        <f>Medical_2608!V14*VLOOKUP($D45,단가!$B:$E,4,0)</f>
        <v>157085910</v>
      </c>
      <c r="T45" s="194">
        <f>Medical_2608!W14*VLOOKUP($D45,단가!$B:$E,4,0)</f>
        <v>0</v>
      </c>
      <c r="U45" s="194">
        <f>Medical_2608!X14*VLOOKUP($D45,단가!$B:$E,4,0)</f>
        <v>75401236.799999997</v>
      </c>
      <c r="V45" s="194">
        <f>Medical_2608!Y14*VLOOKUP($D45,단가!$B:$E,4,0)</f>
        <v>257620892.40000001</v>
      </c>
      <c r="W45" s="194">
        <f>Medical_2608!Z14*VLOOKUP($D45,단가!$B:$E,4,0)</f>
        <v>251337456</v>
      </c>
    </row>
    <row r="46" spans="2:23" ht="12.75">
      <c r="B46" s="981" t="s">
        <v>277</v>
      </c>
      <c r="C46" s="860"/>
      <c r="D46" s="640">
        <v>646548</v>
      </c>
      <c r="E46" s="298"/>
      <c r="F46" s="298"/>
      <c r="G46" s="298"/>
      <c r="H46" s="194">
        <f>Medical_2608!K15*VLOOKUP($D46,단가!$B:$E,4,0)</f>
        <v>7981008.75</v>
      </c>
      <c r="I46" s="194">
        <f>Medical_2608!L15*VLOOKUP($D46,단가!$B:$E,4,0)</f>
        <v>0</v>
      </c>
      <c r="J46" s="194">
        <f>Medical_2608!M15*VLOOKUP($D46,단가!$B:$E,4,0)</f>
        <v>11459910</v>
      </c>
      <c r="K46" s="194">
        <f>Medical_2608!N15*VLOOKUP($D46,단가!$B:$E,4,0)</f>
        <v>0</v>
      </c>
      <c r="L46" s="194">
        <f>Medical_2608!O15*VLOOKUP($D46,단가!$B:$E,4,0)</f>
        <v>4092825</v>
      </c>
      <c r="M46" s="194">
        <f>Medical_2608!P15*VLOOKUP($D46,단가!$B:$E,4,0)</f>
        <v>9413497.5</v>
      </c>
      <c r="N46" s="194">
        <f>Medical_2608!Q15*VLOOKUP($D46,단가!$B:$E,4,0)</f>
        <v>0</v>
      </c>
      <c r="O46" s="194">
        <f>Medical_2608!R15*VLOOKUP($D46,단가!$B:$E,4,0)</f>
        <v>0</v>
      </c>
      <c r="P46" s="194">
        <f>Medical_2608!S15*VLOOKUP($D46,단가!$B:$E,4,0)</f>
        <v>3069618.75</v>
      </c>
      <c r="Q46" s="194">
        <f>Medical_2608!T15*VLOOKUP($D46,단가!$B:$E,4,0)</f>
        <v>0</v>
      </c>
      <c r="R46" s="194">
        <f>Medical_2608!U15*VLOOKUP($D46,단가!$B:$E,4,0)</f>
        <v>11050627.5</v>
      </c>
      <c r="S46" s="194">
        <f>Medical_2608!V15*VLOOKUP($D46,단가!$B:$E,4,0)</f>
        <v>0</v>
      </c>
      <c r="T46" s="194">
        <f>Medical_2608!W15*VLOOKUP($D46,단가!$B:$E,4,0)</f>
        <v>0</v>
      </c>
      <c r="U46" s="194">
        <f>Medical_2608!X15*VLOOKUP($D46,단가!$B:$E,4,0)</f>
        <v>9208856.25</v>
      </c>
      <c r="V46" s="194">
        <f>Medical_2608!Y15*VLOOKUP($D46,단가!$B:$E,4,0)</f>
        <v>0</v>
      </c>
      <c r="W46" s="194">
        <f>Medical_2608!Z15*VLOOKUP($D46,단가!$B:$E,4,0)</f>
        <v>3274260</v>
      </c>
    </row>
    <row r="47" spans="2:23" ht="12.75">
      <c r="B47" s="981" t="s">
        <v>279</v>
      </c>
      <c r="C47" s="860"/>
      <c r="D47" s="640">
        <v>589462</v>
      </c>
      <c r="E47" s="298"/>
      <c r="F47" s="298"/>
      <c r="G47" s="298"/>
      <c r="H47" s="194">
        <f>Medical_2608!K16*VLOOKUP($D47,단가!$B:$E,4,0)</f>
        <v>11536819.5</v>
      </c>
      <c r="I47" s="194">
        <f>Medical_2608!L16*VLOOKUP($D47,단가!$B:$E,4,0)</f>
        <v>0</v>
      </c>
      <c r="J47" s="194">
        <f>Medical_2608!M16*VLOOKUP($D47,단가!$B:$E,4,0)</f>
        <v>12459765.060000001</v>
      </c>
      <c r="K47" s="194">
        <f>Medical_2608!N16*VLOOKUP($D47,단가!$B:$E,4,0)</f>
        <v>0</v>
      </c>
      <c r="L47" s="194">
        <f>Medical_2608!O16*VLOOKUP($D47,단가!$B:$E,4,0)</f>
        <v>4614727.8000000007</v>
      </c>
      <c r="M47" s="194">
        <f>Medical_2608!P16*VLOOKUP($D47,단가!$B:$E,4,0)</f>
        <v>10152401.16</v>
      </c>
      <c r="N47" s="194">
        <f>Medical_2608!Q16*VLOOKUP($D47,단가!$B:$E,4,0)</f>
        <v>0</v>
      </c>
      <c r="O47" s="194">
        <f>Medical_2608!R16*VLOOKUP($D47,단가!$B:$E,4,0)</f>
        <v>0</v>
      </c>
      <c r="P47" s="194">
        <f>Medical_2608!S16*VLOOKUP($D47,단가!$B:$E,4,0)</f>
        <v>0</v>
      </c>
      <c r="Q47" s="194">
        <f>Medical_2608!T16*VLOOKUP($D47,단가!$B:$E,4,0)</f>
        <v>12921237.84</v>
      </c>
      <c r="R47" s="194">
        <f>Medical_2608!U16*VLOOKUP($D47,단가!$B:$E,4,0)</f>
        <v>0</v>
      </c>
      <c r="S47" s="194">
        <f>Medical_2608!V16*VLOOKUP($D47,단가!$B:$E,4,0)</f>
        <v>0</v>
      </c>
      <c r="T47" s="194">
        <f>Medical_2608!W16*VLOOKUP($D47,단가!$B:$E,4,0)</f>
        <v>4614727.8000000007</v>
      </c>
      <c r="U47" s="194">
        <f>Medical_2608!X16*VLOOKUP($D47,단가!$B:$E,4,0)</f>
        <v>4614727.8000000007</v>
      </c>
      <c r="V47" s="194">
        <f>Medical_2608!Y16*VLOOKUP($D47,단가!$B:$E,4,0)</f>
        <v>0</v>
      </c>
      <c r="W47" s="194">
        <f>Medical_2608!Z16*VLOOKUP($D47,단가!$B:$E,4,0)</f>
        <v>0</v>
      </c>
    </row>
    <row r="48" spans="2:23" ht="12.75">
      <c r="B48" s="981" t="s">
        <v>281</v>
      </c>
      <c r="C48" s="860"/>
      <c r="D48" s="640">
        <v>589466</v>
      </c>
      <c r="E48" s="298"/>
      <c r="F48" s="298"/>
      <c r="G48" s="298"/>
      <c r="H48" s="194">
        <f>Medical_2608!K17*VLOOKUP($D48,단가!$B:$E,4,0)</f>
        <v>14624992.140000001</v>
      </c>
      <c r="I48" s="194">
        <f>Medical_2608!L17*VLOOKUP($D48,단가!$B:$E,4,0)</f>
        <v>0</v>
      </c>
      <c r="J48" s="194">
        <f>Medical_2608!M17*VLOOKUP($D48,단가!$B:$E,4,0)</f>
        <v>20286279.420000002</v>
      </c>
      <c r="K48" s="194">
        <f>Medical_2608!N17*VLOOKUP($D48,단가!$B:$E,4,0)</f>
        <v>0</v>
      </c>
      <c r="L48" s="194">
        <f>Medical_2608!O17*VLOOKUP($D48,단가!$B:$E,4,0)</f>
        <v>3066530.6100000003</v>
      </c>
      <c r="M48" s="194">
        <f>Medical_2608!P17*VLOOKUP($D48,단가!$B:$E,4,0)</f>
        <v>25947566.700000003</v>
      </c>
      <c r="N48" s="194">
        <f>Medical_2608!Q17*VLOOKUP($D48,단가!$B:$E,4,0)</f>
        <v>0</v>
      </c>
      <c r="O48" s="194">
        <f>Medical_2608!R17*VLOOKUP($D48,단가!$B:$E,4,0)</f>
        <v>0</v>
      </c>
      <c r="P48" s="194">
        <f>Medical_2608!S17*VLOOKUP($D48,단가!$B:$E,4,0)</f>
        <v>0</v>
      </c>
      <c r="Q48" s="194">
        <f>Medical_2608!T17*VLOOKUP($D48,단가!$B:$E,4,0)</f>
        <v>29249984.280000001</v>
      </c>
      <c r="R48" s="194">
        <f>Medical_2608!U17*VLOOKUP($D48,단가!$B:$E,4,0)</f>
        <v>0</v>
      </c>
      <c r="S48" s="194">
        <f>Medical_2608!V17*VLOOKUP($D48,단가!$B:$E,4,0)</f>
        <v>0</v>
      </c>
      <c r="T48" s="194">
        <f>Medical_2608!W17*VLOOKUP($D48,단가!$B:$E,4,0)</f>
        <v>0</v>
      </c>
      <c r="U48" s="194">
        <f>Medical_2608!X17*VLOOKUP($D48,단가!$B:$E,4,0)</f>
        <v>33024175.800000001</v>
      </c>
      <c r="V48" s="194">
        <f>Medical_2608!Y17*VLOOKUP($D48,단가!$B:$E,4,0)</f>
        <v>0</v>
      </c>
      <c r="W48" s="194">
        <f>Medical_2608!Z17*VLOOKUP($D48,단가!$B:$E,4,0)</f>
        <v>0</v>
      </c>
    </row>
    <row r="49" spans="2:23" ht="12.75">
      <c r="B49" s="981" t="s">
        <v>282</v>
      </c>
      <c r="C49" s="860"/>
      <c r="D49" s="640">
        <v>116180</v>
      </c>
      <c r="E49" s="298"/>
      <c r="F49" s="298"/>
      <c r="G49" s="298"/>
      <c r="H49" s="194">
        <f>Medical_2608!K18*VLOOKUP($D49,단가!$B:$E,4,0)</f>
        <v>8930733.8399999999</v>
      </c>
      <c r="I49" s="194">
        <f>Medical_2608!L18*VLOOKUP($D49,단가!$B:$E,4,0)</f>
        <v>0</v>
      </c>
      <c r="J49" s="194">
        <f>Medical_2608!M18*VLOOKUP($D49,단가!$B:$E,4,0)</f>
        <v>44653669.199999996</v>
      </c>
      <c r="K49" s="194">
        <f>Medical_2608!N18*VLOOKUP($D49,단가!$B:$E,4,0)</f>
        <v>0</v>
      </c>
      <c r="L49" s="194">
        <f>Medical_2608!O18*VLOOKUP($D49,단가!$B:$E,4,0)</f>
        <v>7442278.1999999993</v>
      </c>
      <c r="M49" s="194">
        <f>Medical_2608!P18*VLOOKUP($D49,단가!$B:$E,4,0)</f>
        <v>60778605.299999997</v>
      </c>
      <c r="N49" s="194">
        <f>Medical_2608!Q18*VLOOKUP($D49,단가!$B:$E,4,0)</f>
        <v>0</v>
      </c>
      <c r="O49" s="194">
        <f>Medical_2608!R18*VLOOKUP($D49,단가!$B:$E,4,0)</f>
        <v>0</v>
      </c>
      <c r="P49" s="194">
        <f>Medical_2608!S18*VLOOKUP($D49,단가!$B:$E,4,0)</f>
        <v>49615188</v>
      </c>
      <c r="Q49" s="194">
        <f>Medical_2608!T18*VLOOKUP($D49,단가!$B:$E,4,0)</f>
        <v>0</v>
      </c>
      <c r="R49" s="194">
        <f>Medical_2608!U18*VLOOKUP($D49,단가!$B:$E,4,0)</f>
        <v>119076451.19999999</v>
      </c>
      <c r="S49" s="194">
        <f>Medical_2608!V18*VLOOKUP($D49,단가!$B:$E,4,0)</f>
        <v>27288353.399999999</v>
      </c>
      <c r="T49" s="194">
        <f>Medical_2608!W18*VLOOKUP($D49,단가!$B:$E,4,0)</f>
        <v>0</v>
      </c>
      <c r="U49" s="194">
        <f>Medical_2608!X18*VLOOKUP($D49,단가!$B:$E,4,0)</f>
        <v>32249872.199999999</v>
      </c>
      <c r="V49" s="194">
        <f>Medical_2608!Y18*VLOOKUP($D49,단가!$B:$E,4,0)</f>
        <v>0</v>
      </c>
      <c r="W49" s="194">
        <f>Medical_2608!Z18*VLOOKUP($D49,단가!$B:$E,4,0)</f>
        <v>0</v>
      </c>
    </row>
    <row r="50" spans="2:23" ht="12.75">
      <c r="B50" s="981" t="s">
        <v>283</v>
      </c>
      <c r="C50" s="860"/>
      <c r="D50" s="640">
        <v>695413</v>
      </c>
      <c r="E50" s="298"/>
      <c r="F50" s="298"/>
      <c r="G50" s="298"/>
      <c r="H50" s="194">
        <f>Medical_2608!K19*VLOOKUP($D50,단가!$B:$E,4,0)</f>
        <v>7135831.2600000007</v>
      </c>
      <c r="I50" s="194">
        <f>Medical_2608!L19*VLOOKUP($D50,단가!$B:$E,4,0)</f>
        <v>0</v>
      </c>
      <c r="J50" s="194">
        <f>Medical_2608!M19*VLOOKUP($D50,단가!$B:$E,4,0)</f>
        <v>16790191.200000003</v>
      </c>
      <c r="K50" s="194">
        <f>Medical_2608!N19*VLOOKUP($D50,단가!$B:$E,4,0)</f>
        <v>0</v>
      </c>
      <c r="L50" s="194">
        <f>Medical_2608!O19*VLOOKUP($D50,단가!$B:$E,4,0)</f>
        <v>8395095.6000000015</v>
      </c>
      <c r="M50" s="194">
        <f>Medical_2608!P19*VLOOKUP($D50,단가!$B:$E,4,0)</f>
        <v>6716076.4800000004</v>
      </c>
      <c r="N50" s="194">
        <f>Medical_2608!Q19*VLOOKUP($D50,단가!$B:$E,4,0)</f>
        <v>0</v>
      </c>
      <c r="O50" s="194">
        <f>Medical_2608!R19*VLOOKUP($D50,단가!$B:$E,4,0)</f>
        <v>0</v>
      </c>
      <c r="P50" s="194">
        <f>Medical_2608!S19*VLOOKUP($D50,단가!$B:$E,4,0)</f>
        <v>5037057.3600000003</v>
      </c>
      <c r="Q50" s="194">
        <f>Medical_2608!T19*VLOOKUP($D50,단가!$B:$E,4,0)</f>
        <v>0</v>
      </c>
      <c r="R50" s="194">
        <f>Medical_2608!U19*VLOOKUP($D50,단가!$B:$E,4,0)</f>
        <v>3358038.24</v>
      </c>
      <c r="S50" s="194">
        <f>Medical_2608!V19*VLOOKUP($D50,단가!$B:$E,4,0)</f>
        <v>6716076.4800000004</v>
      </c>
      <c r="T50" s="194">
        <f>Medical_2608!W19*VLOOKUP($D50,단가!$B:$E,4,0)</f>
        <v>0</v>
      </c>
      <c r="U50" s="194">
        <f>Medical_2608!X19*VLOOKUP($D50,단가!$B:$E,4,0)</f>
        <v>6716076.4800000004</v>
      </c>
      <c r="V50" s="194">
        <f>Medical_2608!Y19*VLOOKUP($D50,단가!$B:$E,4,0)</f>
        <v>0</v>
      </c>
      <c r="W50" s="194">
        <f>Medical_2608!Z19*VLOOKUP($D50,단가!$B:$E,4,0)</f>
        <v>6716076.4800000004</v>
      </c>
    </row>
    <row r="51" spans="2:23" ht="12.75">
      <c r="B51" s="981" t="s">
        <v>284</v>
      </c>
      <c r="C51" s="860"/>
      <c r="D51" s="640">
        <v>699883</v>
      </c>
      <c r="E51" s="298"/>
      <c r="F51" s="298"/>
      <c r="G51" s="298"/>
      <c r="H51" s="194">
        <f>Medical_2608!K20*VLOOKUP($D51,단가!$B:$E,4,0)</f>
        <v>4614725.76</v>
      </c>
      <c r="I51" s="194">
        <f>Medical_2608!L20*VLOOKUP($D51,단가!$B:$E,4,0)</f>
        <v>0</v>
      </c>
      <c r="J51" s="194">
        <f>Medical_2608!M20*VLOOKUP($D51,단가!$B:$E,4,0)</f>
        <v>6345247.9199999999</v>
      </c>
      <c r="K51" s="194">
        <f>Medical_2608!N20*VLOOKUP($D51,단가!$B:$E,4,0)</f>
        <v>0</v>
      </c>
      <c r="L51" s="194">
        <f>Medical_2608!O20*VLOOKUP($D51,단가!$B:$E,4,0)</f>
        <v>4326305.3999999994</v>
      </c>
      <c r="M51" s="194">
        <f>Medical_2608!P20*VLOOKUP($D51,단가!$B:$E,4,0)</f>
        <v>6922088.6399999997</v>
      </c>
      <c r="N51" s="194">
        <f>Medical_2608!Q20*VLOOKUP($D51,단가!$B:$E,4,0)</f>
        <v>0</v>
      </c>
      <c r="O51" s="194">
        <f>Medical_2608!R20*VLOOKUP($D51,단가!$B:$E,4,0)</f>
        <v>0</v>
      </c>
      <c r="P51" s="194">
        <f>Medical_2608!S20*VLOOKUP($D51,단가!$B:$E,4,0)</f>
        <v>3461044.32</v>
      </c>
      <c r="Q51" s="194">
        <f>Medical_2608!T20*VLOOKUP($D51,단가!$B:$E,4,0)</f>
        <v>0</v>
      </c>
      <c r="R51" s="194">
        <f>Medical_2608!U20*VLOOKUP($D51,단가!$B:$E,4,0)</f>
        <v>0</v>
      </c>
      <c r="S51" s="194">
        <f>Medical_2608!V20*VLOOKUP($D51,단가!$B:$E,4,0)</f>
        <v>0</v>
      </c>
      <c r="T51" s="194">
        <f>Medical_2608!W20*VLOOKUP($D51,단가!$B:$E,4,0)</f>
        <v>0</v>
      </c>
      <c r="U51" s="194">
        <f>Medical_2608!X20*VLOOKUP($D51,단가!$B:$E,4,0)</f>
        <v>1730522.16</v>
      </c>
      <c r="V51" s="194">
        <f>Medical_2608!Y20*VLOOKUP($D51,단가!$B:$E,4,0)</f>
        <v>0</v>
      </c>
      <c r="W51" s="194">
        <f>Medical_2608!Z20*VLOOKUP($D51,단가!$B:$E,4,0)</f>
        <v>0</v>
      </c>
    </row>
    <row r="52" spans="2:23" ht="12.75">
      <c r="B52" s="981" t="s">
        <v>285</v>
      </c>
      <c r="C52" s="860"/>
      <c r="D52" s="640">
        <v>645380</v>
      </c>
      <c r="E52" s="298"/>
      <c r="F52" s="298"/>
      <c r="G52" s="298"/>
      <c r="H52" s="194">
        <f>Medical_2608!K21*VLOOKUP($D52,단가!$B:$E,4,0)</f>
        <v>428510.39999999997</v>
      </c>
      <c r="I52" s="194">
        <f>Medical_2608!L21*VLOOKUP($D52,단가!$B:$E,4,0)</f>
        <v>0</v>
      </c>
      <c r="J52" s="194">
        <f>Medical_2608!M21*VLOOKUP($D52,단가!$B:$E,4,0)</f>
        <v>123410995.19999999</v>
      </c>
      <c r="K52" s="194">
        <f>Medical_2608!N21*VLOOKUP($D52,단가!$B:$E,4,0)</f>
        <v>16283395.199999999</v>
      </c>
      <c r="L52" s="194">
        <f>Medical_2608!O21*VLOOKUP($D52,단가!$B:$E,4,0)</f>
        <v>92558246.399999991</v>
      </c>
      <c r="M52" s="194">
        <f>Medical_2608!P21*VLOOKUP($D52,단가!$B:$E,4,0)</f>
        <v>85702080</v>
      </c>
      <c r="N52" s="194">
        <f>Medical_2608!Q21*VLOOKUP($D52,단가!$B:$E,4,0)</f>
        <v>0</v>
      </c>
      <c r="O52" s="194">
        <f>Medical_2608!R21*VLOOKUP($D52,단가!$B:$E,4,0)</f>
        <v>8570208</v>
      </c>
      <c r="P52" s="194">
        <f>Medical_2608!S21*VLOOKUP($D52,단가!$B:$E,4,0)</f>
        <v>0</v>
      </c>
      <c r="Q52" s="194">
        <f>Medical_2608!T21*VLOOKUP($D52,단가!$B:$E,4,0)</f>
        <v>64276559.999999993</v>
      </c>
      <c r="R52" s="194">
        <f>Medical_2608!U21*VLOOKUP($D52,단가!$B:$E,4,0)</f>
        <v>29995727.999999996</v>
      </c>
      <c r="S52" s="194">
        <f>Medical_2608!V21*VLOOKUP($D52,단가!$B:$E,4,0)</f>
        <v>0</v>
      </c>
      <c r="T52" s="194">
        <f>Medical_2608!W21*VLOOKUP($D52,단가!$B:$E,4,0)</f>
        <v>55706351.999999993</v>
      </c>
      <c r="U52" s="194">
        <f>Medical_2608!X21*VLOOKUP($D52,단가!$B:$E,4,0)</f>
        <v>17140416</v>
      </c>
      <c r="V52" s="194">
        <f>Medical_2608!Y21*VLOOKUP($D52,단가!$B:$E,4,0)</f>
        <v>64276559.999999993</v>
      </c>
      <c r="W52" s="194">
        <f>Medical_2608!Z21*VLOOKUP($D52,단가!$B:$E,4,0)</f>
        <v>0</v>
      </c>
    </row>
    <row r="53" spans="2:23" ht="12.75">
      <c r="B53" s="981" t="s">
        <v>288</v>
      </c>
      <c r="C53" s="860"/>
      <c r="D53" s="640">
        <v>578785</v>
      </c>
      <c r="E53" s="298"/>
      <c r="F53" s="298"/>
      <c r="G53" s="298"/>
      <c r="H53" s="194">
        <f>Medical_2608!K22*VLOOKUP($D53,단가!$B:$E,4,0)</f>
        <v>0</v>
      </c>
      <c r="I53" s="194">
        <f>Medical_2608!L22*VLOOKUP($D53,단가!$B:$E,4,0)</f>
        <v>0</v>
      </c>
      <c r="J53" s="194">
        <f>Medical_2608!M22*VLOOKUP($D53,단가!$B:$E,4,0)</f>
        <v>152610607.66</v>
      </c>
      <c r="K53" s="194">
        <f>Medical_2608!N22*VLOOKUP($D53,단가!$B:$E,4,0)</f>
        <v>2626688.5999999996</v>
      </c>
      <c r="L53" s="194">
        <f>Medical_2608!O22*VLOOKUP($D53,단가!$B:$E,4,0)</f>
        <v>0</v>
      </c>
      <c r="M53" s="194">
        <f>Medical_2608!P22*VLOOKUP($D53,단가!$B:$E,4,0)</f>
        <v>43471696.329999998</v>
      </c>
      <c r="N53" s="194">
        <f>Medical_2608!Q22*VLOOKUP($D53,단가!$B:$E,4,0)</f>
        <v>43471696.329999998</v>
      </c>
      <c r="O53" s="194">
        <f>Medical_2608!R22*VLOOKUP($D53,단가!$B:$E,4,0)</f>
        <v>0</v>
      </c>
      <c r="P53" s="194">
        <f>Medical_2608!S22*VLOOKUP($D53,단가!$B:$E,4,0)</f>
        <v>96268137.189999998</v>
      </c>
      <c r="Q53" s="194">
        <f>Medical_2608!T22*VLOOKUP($D53,단가!$B:$E,4,0)</f>
        <v>43471696.329999998</v>
      </c>
      <c r="R53" s="194">
        <f>Medical_2608!U22*VLOOKUP($D53,단가!$B:$E,4,0)</f>
        <v>43471696.329999998</v>
      </c>
      <c r="S53" s="194">
        <f>Medical_2608!V22*VLOOKUP($D53,단가!$B:$E,4,0)</f>
        <v>0</v>
      </c>
      <c r="T53" s="194">
        <f>Medical_2608!W22*VLOOKUP($D53,단가!$B:$E,4,0)</f>
        <v>43471696.329999998</v>
      </c>
      <c r="U53" s="194">
        <f>Medical_2608!X22*VLOOKUP($D53,단가!$B:$E,4,0)</f>
        <v>81427346.599999994</v>
      </c>
      <c r="V53" s="194">
        <f>Medical_2608!Y22*VLOOKUP($D53,단가!$B:$E,4,0)</f>
        <v>0</v>
      </c>
      <c r="W53" s="194">
        <f>Medical_2608!Z22*VLOOKUP($D53,단가!$B:$E,4,0)</f>
        <v>0</v>
      </c>
    </row>
    <row r="54" spans="2:23" ht="12.75">
      <c r="B54" s="982" t="s">
        <v>38</v>
      </c>
      <c r="C54" s="879"/>
      <c r="D54" s="860"/>
      <c r="E54" s="849"/>
      <c r="F54" s="849"/>
      <c r="G54" s="849"/>
      <c r="H54" s="228">
        <f t="shared" ref="H54:W54" si="2">SUM(H38:H53)</f>
        <v>1194489772.1000001</v>
      </c>
      <c r="I54" s="228">
        <f t="shared" si="2"/>
        <v>170734759</v>
      </c>
      <c r="J54" s="228">
        <f t="shared" si="2"/>
        <v>471526393.40999997</v>
      </c>
      <c r="K54" s="228">
        <f t="shared" si="2"/>
        <v>498217262.60000002</v>
      </c>
      <c r="L54" s="228">
        <f t="shared" si="2"/>
        <v>721547527.88999999</v>
      </c>
      <c r="M54" s="228">
        <f t="shared" si="2"/>
        <v>406400273.53000003</v>
      </c>
      <c r="N54" s="228">
        <f t="shared" si="2"/>
        <v>52484812.329999998</v>
      </c>
      <c r="O54" s="228">
        <f t="shared" si="2"/>
        <v>391373901.12</v>
      </c>
      <c r="P54" s="228">
        <f t="shared" si="2"/>
        <v>407612201.61000001</v>
      </c>
      <c r="Q54" s="228">
        <f t="shared" si="2"/>
        <v>845588434.72000003</v>
      </c>
      <c r="R54" s="228">
        <f t="shared" si="2"/>
        <v>406889890.86999995</v>
      </c>
      <c r="S54" s="228">
        <f t="shared" si="2"/>
        <v>203776544.69999999</v>
      </c>
      <c r="T54" s="228">
        <f t="shared" si="2"/>
        <v>104285494.56999999</v>
      </c>
      <c r="U54" s="228">
        <f t="shared" si="2"/>
        <v>1327574100.1099999</v>
      </c>
      <c r="V54" s="228">
        <f t="shared" si="2"/>
        <v>324853763.03999996</v>
      </c>
      <c r="W54" s="228">
        <f t="shared" si="2"/>
        <v>286869308.49000001</v>
      </c>
    </row>
  </sheetData>
  <mergeCells count="28">
    <mergeCell ref="B54:D54"/>
    <mergeCell ref="B41:C41"/>
    <mergeCell ref="B42:C42"/>
    <mergeCell ref="B43:C43"/>
    <mergeCell ref="B44:C44"/>
    <mergeCell ref="B45:C45"/>
    <mergeCell ref="B46:C46"/>
    <mergeCell ref="B47:C47"/>
    <mergeCell ref="B49:C49"/>
    <mergeCell ref="B50:C50"/>
    <mergeCell ref="B51:C51"/>
    <mergeCell ref="B52:C52"/>
    <mergeCell ref="B53:C53"/>
    <mergeCell ref="B37:C37"/>
    <mergeCell ref="B38:C38"/>
    <mergeCell ref="B39:C39"/>
    <mergeCell ref="B40:C40"/>
    <mergeCell ref="B48:C48"/>
    <mergeCell ref="B15:B22"/>
    <mergeCell ref="B23:B27"/>
    <mergeCell ref="B28:B29"/>
    <mergeCell ref="B30:B33"/>
    <mergeCell ref="B34:D34"/>
    <mergeCell ref="B3:C3"/>
    <mergeCell ref="B4:B6"/>
    <mergeCell ref="B7:B9"/>
    <mergeCell ref="B11:D11"/>
    <mergeCell ref="B14:C14"/>
  </mergeCells>
  <phoneticPr fontId="8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2CC"/>
    <outlinePr summaryBelow="0" summaryRight="0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3" max="3" width="37.7109375" customWidth="1"/>
    <col min="10" max="10" width="17.7109375" customWidth="1"/>
  </cols>
  <sheetData>
    <row r="1" spans="1:11" ht="15.75" customHeight="1">
      <c r="A1" s="642" t="s">
        <v>395</v>
      </c>
      <c r="B1" s="642" t="s">
        <v>396</v>
      </c>
      <c r="C1" s="642" t="s">
        <v>69</v>
      </c>
      <c r="D1" s="642" t="s">
        <v>397</v>
      </c>
      <c r="E1" s="642" t="s">
        <v>398</v>
      </c>
      <c r="F1" s="643" t="s">
        <v>399</v>
      </c>
      <c r="G1" s="642" t="s">
        <v>397</v>
      </c>
      <c r="H1" s="642" t="s">
        <v>398</v>
      </c>
    </row>
    <row r="2" spans="1:11" ht="15.75" customHeight="1">
      <c r="A2" s="644" t="s">
        <v>400</v>
      </c>
      <c r="B2" s="645">
        <v>676366</v>
      </c>
      <c r="C2" s="645" t="s">
        <v>72</v>
      </c>
      <c r="D2" s="646">
        <v>63.18</v>
      </c>
      <c r="E2" s="94">
        <v>24404.23</v>
      </c>
      <c r="F2" s="647">
        <v>1700</v>
      </c>
      <c r="G2" s="648">
        <f t="shared" ref="G2:G4" si="0">D2*F2</f>
        <v>107406</v>
      </c>
      <c r="H2" s="648">
        <f t="shared" ref="H2:H4" si="1">G2/4</f>
        <v>26851.5</v>
      </c>
    </row>
    <row r="3" spans="1:11" ht="15.75" customHeight="1">
      <c r="A3" s="644" t="s">
        <v>400</v>
      </c>
      <c r="B3" s="645">
        <v>676367</v>
      </c>
      <c r="C3" s="645" t="s">
        <v>86</v>
      </c>
      <c r="D3" s="646">
        <v>63.18</v>
      </c>
      <c r="E3" s="94">
        <v>24404.23</v>
      </c>
      <c r="F3" s="647">
        <v>1700</v>
      </c>
      <c r="G3" s="648">
        <f t="shared" si="0"/>
        <v>107406</v>
      </c>
      <c r="H3" s="648">
        <f t="shared" si="1"/>
        <v>26851.5</v>
      </c>
    </row>
    <row r="4" spans="1:11" ht="15.75" customHeight="1">
      <c r="A4" s="644" t="s">
        <v>400</v>
      </c>
      <c r="B4" s="645">
        <v>676369</v>
      </c>
      <c r="C4" s="645" t="s">
        <v>88</v>
      </c>
      <c r="D4" s="646">
        <v>63.18</v>
      </c>
      <c r="E4" s="94">
        <v>24404.23</v>
      </c>
      <c r="F4" s="647">
        <v>1700</v>
      </c>
      <c r="G4" s="648">
        <f t="shared" si="0"/>
        <v>107406</v>
      </c>
      <c r="H4" s="648">
        <f t="shared" si="1"/>
        <v>26851.5</v>
      </c>
    </row>
    <row r="5" spans="1:11" ht="15.75" customHeight="1">
      <c r="A5" s="354" t="s">
        <v>400</v>
      </c>
      <c r="B5" s="649"/>
      <c r="C5" s="649" t="s">
        <v>401</v>
      </c>
      <c r="D5" s="650">
        <v>85.32</v>
      </c>
      <c r="E5" s="651">
        <f t="shared" ref="E5:E7" si="2">D5/4</f>
        <v>21.33</v>
      </c>
      <c r="F5" s="652"/>
      <c r="G5" s="653"/>
      <c r="H5" s="354"/>
      <c r="I5" s="654"/>
    </row>
    <row r="6" spans="1:11" ht="15.75" customHeight="1">
      <c r="A6" s="354" t="s">
        <v>400</v>
      </c>
      <c r="B6" s="649"/>
      <c r="C6" s="649" t="s">
        <v>402</v>
      </c>
      <c r="D6" s="650">
        <v>85.32</v>
      </c>
      <c r="E6" s="651">
        <f t="shared" si="2"/>
        <v>21.33</v>
      </c>
      <c r="F6" s="652"/>
      <c r="G6" s="653"/>
      <c r="H6" s="354"/>
    </row>
    <row r="7" spans="1:11" ht="15.75" customHeight="1">
      <c r="A7" s="354" t="s">
        <v>400</v>
      </c>
      <c r="B7" s="649"/>
      <c r="C7" s="649" t="s">
        <v>403</v>
      </c>
      <c r="D7" s="650">
        <v>85.32</v>
      </c>
      <c r="E7" s="651">
        <f t="shared" si="2"/>
        <v>21.33</v>
      </c>
      <c r="F7" s="652"/>
      <c r="G7" s="653"/>
      <c r="H7" s="354"/>
    </row>
    <row r="8" spans="1:11" ht="15.75" customHeight="1">
      <c r="A8" s="644" t="s">
        <v>400</v>
      </c>
      <c r="B8" s="645">
        <v>677211</v>
      </c>
      <c r="C8" s="645" t="s">
        <v>401</v>
      </c>
      <c r="D8" s="646">
        <v>86.77</v>
      </c>
      <c r="E8" s="94">
        <v>40035.440000000002</v>
      </c>
      <c r="F8" s="647">
        <v>1700</v>
      </c>
      <c r="G8" s="648">
        <f t="shared" ref="G8:G10" si="3">D8*F8</f>
        <v>147509</v>
      </c>
      <c r="H8" s="648">
        <f t="shared" ref="H8:H10" si="4">G8/4</f>
        <v>36877.25</v>
      </c>
      <c r="I8" s="654" t="s">
        <v>404</v>
      </c>
      <c r="J8" s="94">
        <v>24404.23</v>
      </c>
    </row>
    <row r="9" spans="1:11" ht="15.75" customHeight="1">
      <c r="A9" s="644" t="s">
        <v>400</v>
      </c>
      <c r="B9" s="645">
        <v>677200</v>
      </c>
      <c r="C9" s="645" t="s">
        <v>402</v>
      </c>
      <c r="D9" s="646">
        <v>86.77</v>
      </c>
      <c r="E9" s="94">
        <v>40035.440000000002</v>
      </c>
      <c r="F9" s="647">
        <v>1700</v>
      </c>
      <c r="G9" s="648">
        <f t="shared" si="3"/>
        <v>147509</v>
      </c>
      <c r="H9" s="648">
        <f t="shared" si="4"/>
        <v>36877.25</v>
      </c>
      <c r="J9" s="94">
        <v>40035.440000000002</v>
      </c>
    </row>
    <row r="10" spans="1:11" ht="15.75" customHeight="1">
      <c r="A10" s="644" t="s">
        <v>400</v>
      </c>
      <c r="B10" s="645">
        <v>677281</v>
      </c>
      <c r="C10" s="645" t="s">
        <v>403</v>
      </c>
      <c r="D10" s="646">
        <v>86.77</v>
      </c>
      <c r="E10" s="94">
        <v>40035.440000000002</v>
      </c>
      <c r="F10" s="647">
        <v>1700</v>
      </c>
      <c r="G10" s="648">
        <f t="shared" si="3"/>
        <v>147509</v>
      </c>
      <c r="H10" s="648">
        <f t="shared" si="4"/>
        <v>36877.25</v>
      </c>
    </row>
    <row r="11" spans="1:11" ht="15.75" customHeight="1">
      <c r="A11" s="644" t="s">
        <v>400</v>
      </c>
      <c r="B11" s="645">
        <v>560277</v>
      </c>
      <c r="C11" s="645" t="s">
        <v>405</v>
      </c>
      <c r="D11" s="646">
        <v>139.44</v>
      </c>
      <c r="E11" s="655">
        <v>11.62</v>
      </c>
      <c r="F11" s="647">
        <v>1700</v>
      </c>
      <c r="G11" s="648">
        <v>203133.4032</v>
      </c>
      <c r="H11" s="648">
        <v>16927.783599999999</v>
      </c>
    </row>
    <row r="12" spans="1:11" ht="15.75" customHeight="1">
      <c r="A12" s="354" t="s">
        <v>406</v>
      </c>
      <c r="B12" s="649">
        <v>673676</v>
      </c>
      <c r="C12" s="649" t="s">
        <v>207</v>
      </c>
      <c r="D12" s="650">
        <v>88.38</v>
      </c>
      <c r="E12" s="651"/>
      <c r="F12" s="652"/>
      <c r="G12" s="653"/>
      <c r="H12" s="354"/>
      <c r="I12" s="656"/>
      <c r="J12" s="656"/>
      <c r="K12" s="656"/>
    </row>
    <row r="13" spans="1:11" ht="15.75" customHeight="1">
      <c r="A13" s="354" t="s">
        <v>406</v>
      </c>
      <c r="B13" s="649">
        <v>673674</v>
      </c>
      <c r="C13" s="649" t="s">
        <v>203</v>
      </c>
      <c r="D13" s="650">
        <v>88.38</v>
      </c>
      <c r="E13" s="651"/>
      <c r="F13" s="652"/>
      <c r="G13" s="653"/>
      <c r="H13" s="354"/>
      <c r="I13" s="656"/>
      <c r="J13" s="656"/>
      <c r="K13" s="656"/>
    </row>
    <row r="14" spans="1:11" ht="15.75" customHeight="1">
      <c r="A14" s="354" t="s">
        <v>406</v>
      </c>
      <c r="B14" s="649">
        <v>673672</v>
      </c>
      <c r="C14" s="649" t="s">
        <v>208</v>
      </c>
      <c r="D14" s="650">
        <v>88.38</v>
      </c>
      <c r="E14" s="651"/>
      <c r="F14" s="652"/>
      <c r="G14" s="653"/>
      <c r="H14" s="354"/>
      <c r="I14" s="656"/>
      <c r="J14" s="656"/>
      <c r="K14" s="656"/>
    </row>
    <row r="15" spans="1:11" ht="15.75" customHeight="1">
      <c r="A15" s="354" t="s">
        <v>406</v>
      </c>
      <c r="B15" s="649">
        <v>673641</v>
      </c>
      <c r="C15" s="649" t="s">
        <v>195</v>
      </c>
      <c r="D15" s="650">
        <v>88.38</v>
      </c>
      <c r="E15" s="651"/>
      <c r="F15" s="652"/>
      <c r="G15" s="653"/>
      <c r="H15" s="354"/>
      <c r="I15" s="656"/>
      <c r="J15" s="656"/>
      <c r="K15" s="656"/>
    </row>
    <row r="16" spans="1:11" ht="15.75" customHeight="1">
      <c r="A16" s="657" t="s">
        <v>406</v>
      </c>
      <c r="B16" s="658">
        <v>708117</v>
      </c>
      <c r="C16" s="659" t="s">
        <v>207</v>
      </c>
      <c r="D16" s="660">
        <v>88.38</v>
      </c>
      <c r="E16" s="661">
        <f t="shared" ref="E16:E19" si="5">D16/6</f>
        <v>14.729999999999999</v>
      </c>
      <c r="F16" s="662">
        <v>1700</v>
      </c>
      <c r="G16" s="663">
        <f t="shared" ref="G16:G19" si="6">D16*F16</f>
        <v>150246</v>
      </c>
      <c r="H16" s="663">
        <f t="shared" ref="H16:H19" si="7">G16/6</f>
        <v>25041</v>
      </c>
      <c r="J16" s="656"/>
      <c r="K16" s="656"/>
    </row>
    <row r="17" spans="1:11" ht="15.75" customHeight="1">
      <c r="A17" s="657" t="s">
        <v>406</v>
      </c>
      <c r="B17" s="658">
        <v>708111</v>
      </c>
      <c r="C17" s="659" t="s">
        <v>203</v>
      </c>
      <c r="D17" s="660">
        <v>88.38</v>
      </c>
      <c r="E17" s="661">
        <f t="shared" si="5"/>
        <v>14.729999999999999</v>
      </c>
      <c r="F17" s="662">
        <v>1700</v>
      </c>
      <c r="G17" s="663">
        <f t="shared" si="6"/>
        <v>150246</v>
      </c>
      <c r="H17" s="663">
        <f t="shared" si="7"/>
        <v>25041</v>
      </c>
      <c r="I17" s="656"/>
      <c r="J17" s="656"/>
      <c r="K17" s="656"/>
    </row>
    <row r="18" spans="1:11" ht="15.75" customHeight="1">
      <c r="A18" s="657" t="s">
        <v>406</v>
      </c>
      <c r="B18" s="658">
        <v>708112</v>
      </c>
      <c r="C18" s="659" t="s">
        <v>208</v>
      </c>
      <c r="D18" s="660">
        <v>88.38</v>
      </c>
      <c r="E18" s="661">
        <f t="shared" si="5"/>
        <v>14.729999999999999</v>
      </c>
      <c r="F18" s="662">
        <v>1700</v>
      </c>
      <c r="G18" s="663">
        <f t="shared" si="6"/>
        <v>150246</v>
      </c>
      <c r="H18" s="663">
        <f t="shared" si="7"/>
        <v>25041</v>
      </c>
      <c r="I18" s="656"/>
      <c r="J18" s="656"/>
      <c r="K18" s="656"/>
    </row>
    <row r="19" spans="1:11" ht="15.75" customHeight="1">
      <c r="A19" s="657" t="s">
        <v>406</v>
      </c>
      <c r="B19" s="658">
        <v>708113</v>
      </c>
      <c r="C19" s="659" t="s">
        <v>195</v>
      </c>
      <c r="D19" s="660">
        <v>88.38</v>
      </c>
      <c r="E19" s="661">
        <f t="shared" si="5"/>
        <v>14.729999999999999</v>
      </c>
      <c r="F19" s="662">
        <v>1700</v>
      </c>
      <c r="G19" s="663">
        <f t="shared" si="6"/>
        <v>150246</v>
      </c>
      <c r="H19" s="663">
        <f t="shared" si="7"/>
        <v>25041</v>
      </c>
      <c r="I19" s="656"/>
      <c r="J19" s="656"/>
      <c r="K19" s="656"/>
    </row>
    <row r="20" spans="1:11" ht="15.75" customHeight="1">
      <c r="A20" s="354" t="s">
        <v>406</v>
      </c>
      <c r="B20" s="649"/>
      <c r="C20" s="649" t="s">
        <v>407</v>
      </c>
      <c r="D20" s="664">
        <v>79.52</v>
      </c>
      <c r="E20" s="652"/>
      <c r="F20" s="652"/>
      <c r="G20" s="653"/>
      <c r="H20" s="354"/>
      <c r="I20" s="656"/>
      <c r="J20" s="656"/>
      <c r="K20" s="656"/>
    </row>
    <row r="21" spans="1:11" ht="15.75" customHeight="1">
      <c r="A21" s="354" t="s">
        <v>406</v>
      </c>
      <c r="B21" s="649"/>
      <c r="C21" s="649" t="s">
        <v>408</v>
      </c>
      <c r="D21" s="664">
        <v>79.52</v>
      </c>
      <c r="E21" s="652"/>
      <c r="F21" s="652"/>
      <c r="G21" s="653"/>
      <c r="H21" s="354"/>
      <c r="I21" s="656"/>
      <c r="J21" s="656"/>
      <c r="K21" s="656"/>
    </row>
    <row r="22" spans="1:11" ht="15.75" customHeight="1">
      <c r="A22" s="354" t="s">
        <v>406</v>
      </c>
      <c r="B22" s="649"/>
      <c r="C22" s="354" t="s">
        <v>409</v>
      </c>
      <c r="D22" s="664">
        <v>79.52</v>
      </c>
      <c r="E22" s="652"/>
      <c r="F22" s="652"/>
      <c r="G22" s="653"/>
      <c r="H22" s="354"/>
      <c r="I22" s="656"/>
      <c r="J22" s="656"/>
      <c r="K22" s="656"/>
    </row>
    <row r="23" spans="1:11" ht="15.75" customHeight="1">
      <c r="A23" s="657" t="s">
        <v>406</v>
      </c>
      <c r="B23" s="659">
        <v>677044</v>
      </c>
      <c r="C23" s="659" t="s">
        <v>407</v>
      </c>
      <c r="D23" s="665">
        <v>80.87</v>
      </c>
      <c r="E23" s="661">
        <f t="shared" ref="E23:E25" si="8">D23/4</f>
        <v>20.217500000000001</v>
      </c>
      <c r="F23" s="662">
        <v>1700</v>
      </c>
      <c r="G23" s="663">
        <f t="shared" ref="G23:G27" si="9">D23*F23</f>
        <v>137479</v>
      </c>
      <c r="H23" s="663">
        <f t="shared" ref="H23:H25" si="10">G23/4</f>
        <v>34369.75</v>
      </c>
      <c r="I23" s="654" t="s">
        <v>404</v>
      </c>
      <c r="J23" s="656"/>
      <c r="K23" s="656"/>
    </row>
    <row r="24" spans="1:11" ht="15.75" customHeight="1">
      <c r="A24" s="657" t="s">
        <v>406</v>
      </c>
      <c r="B24" s="659">
        <v>677045</v>
      </c>
      <c r="C24" s="659" t="s">
        <v>408</v>
      </c>
      <c r="D24" s="665">
        <v>80.87</v>
      </c>
      <c r="E24" s="661">
        <f t="shared" si="8"/>
        <v>20.217500000000001</v>
      </c>
      <c r="F24" s="662">
        <v>1700</v>
      </c>
      <c r="G24" s="663">
        <f t="shared" si="9"/>
        <v>137479</v>
      </c>
      <c r="H24" s="663">
        <f t="shared" si="10"/>
        <v>34369.75</v>
      </c>
      <c r="I24" s="656"/>
      <c r="J24" s="656"/>
      <c r="K24" s="656"/>
    </row>
    <row r="25" spans="1:11" ht="15.75" customHeight="1">
      <c r="A25" s="657" t="s">
        <v>406</v>
      </c>
      <c r="B25" s="659">
        <v>677047</v>
      </c>
      <c r="C25" s="657" t="s">
        <v>409</v>
      </c>
      <c r="D25" s="665">
        <v>80.87</v>
      </c>
      <c r="E25" s="661">
        <f t="shared" si="8"/>
        <v>20.217500000000001</v>
      </c>
      <c r="F25" s="662">
        <v>1700</v>
      </c>
      <c r="G25" s="663">
        <f t="shared" si="9"/>
        <v>137479</v>
      </c>
      <c r="H25" s="663">
        <f t="shared" si="10"/>
        <v>34369.75</v>
      </c>
      <c r="I25" s="656"/>
      <c r="J25" s="656"/>
      <c r="K25" s="656"/>
    </row>
    <row r="26" spans="1:11" ht="15.75" customHeight="1">
      <c r="A26" s="657" t="s">
        <v>406</v>
      </c>
      <c r="B26" s="659">
        <v>653156</v>
      </c>
      <c r="C26" s="657" t="s">
        <v>199</v>
      </c>
      <c r="D26" s="665">
        <v>207.36</v>
      </c>
      <c r="E26" s="665">
        <f t="shared" ref="E26:E27" si="11">D26/24</f>
        <v>8.64</v>
      </c>
      <c r="F26" s="662">
        <v>1700</v>
      </c>
      <c r="G26" s="663">
        <f t="shared" si="9"/>
        <v>352512</v>
      </c>
      <c r="H26" s="663">
        <f t="shared" ref="H26:H27" si="12">G26/24</f>
        <v>14688</v>
      </c>
      <c r="I26" s="656"/>
      <c r="J26" s="656"/>
      <c r="K26" s="656"/>
    </row>
    <row r="27" spans="1:11" ht="15.75" customHeight="1">
      <c r="A27" s="657" t="s">
        <v>406</v>
      </c>
      <c r="B27" s="659">
        <v>653299</v>
      </c>
      <c r="C27" s="657" t="s">
        <v>210</v>
      </c>
      <c r="D27" s="665">
        <v>207.36</v>
      </c>
      <c r="E27" s="665">
        <f t="shared" si="11"/>
        <v>8.64</v>
      </c>
      <c r="F27" s="662">
        <v>1700</v>
      </c>
      <c r="G27" s="663">
        <f t="shared" si="9"/>
        <v>352512</v>
      </c>
      <c r="H27" s="663">
        <f t="shared" si="12"/>
        <v>14688</v>
      </c>
      <c r="I27" s="656"/>
      <c r="J27" s="656"/>
      <c r="K27" s="656"/>
    </row>
    <row r="28" spans="1:11" ht="15.75" customHeight="1">
      <c r="A28" s="354" t="s">
        <v>406</v>
      </c>
      <c r="B28" s="649">
        <v>698408</v>
      </c>
      <c r="C28" s="354" t="s">
        <v>187</v>
      </c>
      <c r="D28" s="664">
        <v>79.52</v>
      </c>
      <c r="E28" s="664"/>
      <c r="F28" s="652"/>
      <c r="G28" s="653"/>
      <c r="H28" s="354"/>
      <c r="I28" s="656"/>
      <c r="J28" s="656"/>
      <c r="K28" s="656"/>
    </row>
    <row r="29" spans="1:11" ht="15.75" customHeight="1">
      <c r="A29" s="354" t="s">
        <v>406</v>
      </c>
      <c r="B29" s="649">
        <v>698409</v>
      </c>
      <c r="C29" s="354" t="s">
        <v>194</v>
      </c>
      <c r="D29" s="664">
        <v>79.52</v>
      </c>
      <c r="E29" s="664"/>
      <c r="F29" s="652"/>
      <c r="G29" s="653"/>
      <c r="H29" s="354"/>
      <c r="I29" s="656"/>
      <c r="J29" s="656"/>
      <c r="K29" s="656"/>
    </row>
    <row r="30" spans="1:11" ht="15.75" customHeight="1">
      <c r="A30" s="657" t="s">
        <v>406</v>
      </c>
      <c r="B30" s="659">
        <v>698408</v>
      </c>
      <c r="C30" s="657" t="s">
        <v>187</v>
      </c>
      <c r="D30" s="665">
        <v>80.87</v>
      </c>
      <c r="E30" s="661">
        <f t="shared" ref="E30:E31" si="13">D30/4</f>
        <v>20.217500000000001</v>
      </c>
      <c r="F30" s="662">
        <v>1700</v>
      </c>
      <c r="G30" s="663">
        <f t="shared" ref="G30:G55" si="14">D30*F30</f>
        <v>137479</v>
      </c>
      <c r="H30" s="663">
        <f t="shared" ref="H30:H31" si="15">G30/4</f>
        <v>34369.75</v>
      </c>
      <c r="I30" s="656"/>
      <c r="J30" s="656"/>
      <c r="K30" s="656"/>
    </row>
    <row r="31" spans="1:11" ht="15.75" customHeight="1">
      <c r="A31" s="657" t="s">
        <v>406</v>
      </c>
      <c r="B31" s="659">
        <v>698409</v>
      </c>
      <c r="C31" s="657" t="s">
        <v>194</v>
      </c>
      <c r="D31" s="665">
        <v>80.87</v>
      </c>
      <c r="E31" s="661">
        <f t="shared" si="13"/>
        <v>20.217500000000001</v>
      </c>
      <c r="F31" s="662">
        <v>1700</v>
      </c>
      <c r="G31" s="663">
        <f t="shared" si="14"/>
        <v>137479</v>
      </c>
      <c r="H31" s="663">
        <f t="shared" si="15"/>
        <v>34369.75</v>
      </c>
      <c r="I31" s="656"/>
      <c r="J31" s="656"/>
      <c r="K31" s="656"/>
    </row>
    <row r="32" spans="1:11" ht="15.75" customHeight="1">
      <c r="A32" s="657" t="s">
        <v>406</v>
      </c>
      <c r="B32" s="659">
        <v>703819</v>
      </c>
      <c r="C32" s="659" t="s">
        <v>190</v>
      </c>
      <c r="D32" s="665">
        <v>59.64</v>
      </c>
      <c r="E32" s="665">
        <f>D32/3</f>
        <v>19.88</v>
      </c>
      <c r="F32" s="662">
        <v>1700</v>
      </c>
      <c r="G32" s="663">
        <f t="shared" si="14"/>
        <v>101388</v>
      </c>
      <c r="H32" s="663">
        <f t="shared" ref="H32:H55" si="16">E32*F32</f>
        <v>33796</v>
      </c>
      <c r="I32" s="656"/>
      <c r="J32" s="656"/>
      <c r="K32" s="656"/>
    </row>
    <row r="33" spans="1:11" ht="15.75" customHeight="1">
      <c r="A33" s="657" t="s">
        <v>406</v>
      </c>
      <c r="B33" s="659">
        <v>704052</v>
      </c>
      <c r="C33" s="659" t="s">
        <v>196</v>
      </c>
      <c r="D33" s="665">
        <v>58.92</v>
      </c>
      <c r="E33" s="665">
        <f>D33/4</f>
        <v>14.73</v>
      </c>
      <c r="F33" s="662">
        <v>1700</v>
      </c>
      <c r="G33" s="663">
        <f t="shared" si="14"/>
        <v>100164</v>
      </c>
      <c r="H33" s="663">
        <f t="shared" si="16"/>
        <v>25041</v>
      </c>
      <c r="I33" s="656"/>
      <c r="J33" s="656"/>
      <c r="K33" s="656"/>
    </row>
    <row r="34" spans="1:11" ht="15.75" customHeight="1">
      <c r="A34" s="657" t="s">
        <v>406</v>
      </c>
      <c r="B34" s="659">
        <v>703818</v>
      </c>
      <c r="C34" s="659" t="s">
        <v>191</v>
      </c>
      <c r="D34" s="665">
        <v>59.64</v>
      </c>
      <c r="E34" s="665">
        <f>D34/3</f>
        <v>19.88</v>
      </c>
      <c r="F34" s="662">
        <v>1700</v>
      </c>
      <c r="G34" s="663">
        <f t="shared" si="14"/>
        <v>101388</v>
      </c>
      <c r="H34" s="663">
        <f t="shared" si="16"/>
        <v>33796</v>
      </c>
      <c r="I34" s="656"/>
      <c r="J34" s="656"/>
      <c r="K34" s="656"/>
    </row>
    <row r="35" spans="1:11" ht="15.75" customHeight="1">
      <c r="A35" s="657" t="s">
        <v>406</v>
      </c>
      <c r="B35" s="659">
        <v>704054</v>
      </c>
      <c r="C35" s="659" t="s">
        <v>197</v>
      </c>
      <c r="D35" s="665">
        <v>58.92</v>
      </c>
      <c r="E35" s="665">
        <f>D35/4</f>
        <v>14.73</v>
      </c>
      <c r="F35" s="662">
        <v>1700</v>
      </c>
      <c r="G35" s="663">
        <f t="shared" si="14"/>
        <v>100164</v>
      </c>
      <c r="H35" s="663">
        <f t="shared" si="16"/>
        <v>25041</v>
      </c>
      <c r="I35" s="656"/>
      <c r="J35" s="656"/>
      <c r="K35" s="656"/>
    </row>
    <row r="36" spans="1:11" ht="15.75" customHeight="1">
      <c r="A36" s="657" t="s">
        <v>406</v>
      </c>
      <c r="B36" s="659">
        <v>663243</v>
      </c>
      <c r="C36" s="659" t="s">
        <v>212</v>
      </c>
      <c r="D36" s="665">
        <v>36.96</v>
      </c>
      <c r="E36" s="665">
        <f t="shared" ref="E36:E39" si="17">D36/24</f>
        <v>1.54</v>
      </c>
      <c r="F36" s="662">
        <v>1700</v>
      </c>
      <c r="G36" s="663">
        <f t="shared" si="14"/>
        <v>62832</v>
      </c>
      <c r="H36" s="663">
        <f t="shared" si="16"/>
        <v>2618</v>
      </c>
      <c r="I36" s="656"/>
      <c r="J36" s="656"/>
      <c r="K36" s="656"/>
    </row>
    <row r="37" spans="1:11" ht="15.75" customHeight="1">
      <c r="A37" s="657" t="s">
        <v>406</v>
      </c>
      <c r="B37" s="659">
        <v>672129</v>
      </c>
      <c r="C37" s="659" t="s">
        <v>213</v>
      </c>
      <c r="D37" s="665">
        <v>36.96</v>
      </c>
      <c r="E37" s="665">
        <f t="shared" si="17"/>
        <v>1.54</v>
      </c>
      <c r="F37" s="662">
        <v>1700</v>
      </c>
      <c r="G37" s="663">
        <f t="shared" si="14"/>
        <v>62832</v>
      </c>
      <c r="H37" s="663">
        <f t="shared" si="16"/>
        <v>2618</v>
      </c>
      <c r="I37" s="656"/>
      <c r="J37" s="656"/>
      <c r="K37" s="656"/>
    </row>
    <row r="38" spans="1:11" ht="12.75">
      <c r="A38" s="657" t="s">
        <v>406</v>
      </c>
      <c r="B38" s="659">
        <v>672127</v>
      </c>
      <c r="C38" s="659" t="s">
        <v>214</v>
      </c>
      <c r="D38" s="665">
        <v>36.96</v>
      </c>
      <c r="E38" s="665">
        <f t="shared" si="17"/>
        <v>1.54</v>
      </c>
      <c r="F38" s="662">
        <v>1700</v>
      </c>
      <c r="G38" s="663">
        <f t="shared" si="14"/>
        <v>62832</v>
      </c>
      <c r="H38" s="663">
        <f t="shared" si="16"/>
        <v>2618</v>
      </c>
      <c r="I38" s="656"/>
      <c r="J38" s="656"/>
      <c r="K38" s="656"/>
    </row>
    <row r="39" spans="1:11" ht="12.75">
      <c r="A39" s="657" t="s">
        <v>406</v>
      </c>
      <c r="B39" s="659">
        <v>671574</v>
      </c>
      <c r="C39" s="659" t="s">
        <v>215</v>
      </c>
      <c r="D39" s="665">
        <v>36.96</v>
      </c>
      <c r="E39" s="665">
        <f t="shared" si="17"/>
        <v>1.54</v>
      </c>
      <c r="F39" s="662">
        <v>1700</v>
      </c>
      <c r="G39" s="663">
        <f t="shared" si="14"/>
        <v>62832</v>
      </c>
      <c r="H39" s="663">
        <f t="shared" si="16"/>
        <v>2618</v>
      </c>
      <c r="I39" s="656"/>
      <c r="J39" s="656"/>
      <c r="K39" s="656"/>
    </row>
    <row r="40" spans="1:11" ht="14.25">
      <c r="A40" s="667" t="s">
        <v>410</v>
      </c>
      <c r="B40" s="668">
        <v>117547</v>
      </c>
      <c r="C40" s="669" t="s">
        <v>261</v>
      </c>
      <c r="D40" s="670">
        <v>105</v>
      </c>
      <c r="E40" s="500">
        <v>30043.72</v>
      </c>
      <c r="F40" s="671">
        <v>1700</v>
      </c>
      <c r="G40" s="672">
        <f t="shared" si="14"/>
        <v>178500</v>
      </c>
      <c r="H40" s="672">
        <f t="shared" si="16"/>
        <v>51074324</v>
      </c>
      <c r="I40" s="656"/>
      <c r="J40" s="673" t="s">
        <v>411</v>
      </c>
      <c r="K40" s="500">
        <v>35709.199999999997</v>
      </c>
    </row>
    <row r="41" spans="1:11" ht="14.25">
      <c r="A41" s="667" t="s">
        <v>410</v>
      </c>
      <c r="B41" s="668">
        <v>552897</v>
      </c>
      <c r="C41" s="669" t="s">
        <v>269</v>
      </c>
      <c r="D41" s="670">
        <v>76.5</v>
      </c>
      <c r="E41" s="500">
        <v>131334.43</v>
      </c>
      <c r="F41" s="671">
        <v>1700</v>
      </c>
      <c r="G41" s="672">
        <f t="shared" si="14"/>
        <v>130050</v>
      </c>
      <c r="H41" s="672">
        <f t="shared" si="16"/>
        <v>223268531</v>
      </c>
      <c r="I41" s="656"/>
      <c r="J41" s="673" t="s">
        <v>275</v>
      </c>
      <c r="K41" s="500">
        <v>52361.97</v>
      </c>
    </row>
    <row r="42" spans="1:11" ht="14.25">
      <c r="A42" s="667" t="s">
        <v>410</v>
      </c>
      <c r="B42" s="668">
        <v>117771</v>
      </c>
      <c r="C42" s="669" t="s">
        <v>270</v>
      </c>
      <c r="D42" s="670">
        <v>171</v>
      </c>
      <c r="E42" s="500">
        <v>97856.82</v>
      </c>
      <c r="F42" s="671">
        <v>1700</v>
      </c>
      <c r="G42" s="672">
        <f t="shared" si="14"/>
        <v>290700</v>
      </c>
      <c r="H42" s="672">
        <f t="shared" si="16"/>
        <v>166356594</v>
      </c>
      <c r="I42" s="656"/>
      <c r="J42" s="673" t="s">
        <v>274</v>
      </c>
      <c r="K42" s="500">
        <v>31932.240000000002</v>
      </c>
    </row>
    <row r="43" spans="1:11" ht="14.25">
      <c r="A43" s="667" t="s">
        <v>410</v>
      </c>
      <c r="B43" s="668">
        <v>646546</v>
      </c>
      <c r="C43" s="669" t="s">
        <v>271</v>
      </c>
      <c r="D43" s="670">
        <v>143.5</v>
      </c>
      <c r="E43" s="500">
        <v>82119.740000000005</v>
      </c>
      <c r="F43" s="671">
        <v>1700</v>
      </c>
      <c r="G43" s="672">
        <f t="shared" si="14"/>
        <v>243950</v>
      </c>
      <c r="H43" s="672">
        <f t="shared" si="16"/>
        <v>139603558</v>
      </c>
      <c r="I43" s="656"/>
      <c r="J43" s="673" t="s">
        <v>261</v>
      </c>
      <c r="K43" s="500">
        <v>30043.72</v>
      </c>
    </row>
    <row r="44" spans="1:11" ht="14.25">
      <c r="A44" s="667" t="s">
        <v>410</v>
      </c>
      <c r="B44" s="668">
        <v>646567</v>
      </c>
      <c r="C44" s="669" t="s">
        <v>272</v>
      </c>
      <c r="D44" s="670">
        <v>156</v>
      </c>
      <c r="E44" s="500">
        <v>89272.99</v>
      </c>
      <c r="F44" s="671">
        <v>1700</v>
      </c>
      <c r="G44" s="672">
        <f t="shared" si="14"/>
        <v>265200</v>
      </c>
      <c r="H44" s="672">
        <f t="shared" si="16"/>
        <v>151764083</v>
      </c>
      <c r="I44" s="656"/>
      <c r="J44" s="673" t="s">
        <v>412</v>
      </c>
      <c r="K44" s="500">
        <v>175970.84</v>
      </c>
    </row>
    <row r="45" spans="1:11" ht="14.25">
      <c r="A45" s="667" t="s">
        <v>410</v>
      </c>
      <c r="B45" s="668">
        <v>580732</v>
      </c>
      <c r="C45" s="669" t="s">
        <v>273</v>
      </c>
      <c r="D45" s="670">
        <v>1230</v>
      </c>
      <c r="E45" s="500">
        <v>175970.84</v>
      </c>
      <c r="F45" s="671">
        <v>1700</v>
      </c>
      <c r="G45" s="672">
        <f t="shared" si="14"/>
        <v>2091000</v>
      </c>
      <c r="H45" s="672">
        <f t="shared" si="16"/>
        <v>299150428</v>
      </c>
      <c r="I45" s="656"/>
      <c r="J45" s="673" t="s">
        <v>413</v>
      </c>
      <c r="K45" s="500">
        <v>131334.43</v>
      </c>
    </row>
    <row r="46" spans="1:11" ht="14.25">
      <c r="A46" s="667" t="s">
        <v>410</v>
      </c>
      <c r="B46" s="668">
        <v>611174</v>
      </c>
      <c r="C46" s="669" t="s">
        <v>274</v>
      </c>
      <c r="D46" s="670">
        <v>223.2</v>
      </c>
      <c r="E46" s="500">
        <v>31932.240000000002</v>
      </c>
      <c r="F46" s="671">
        <v>1700</v>
      </c>
      <c r="G46" s="672">
        <f t="shared" si="14"/>
        <v>379440</v>
      </c>
      <c r="H46" s="672">
        <f t="shared" si="16"/>
        <v>54284808</v>
      </c>
      <c r="I46" s="656"/>
      <c r="J46" s="673" t="s">
        <v>414</v>
      </c>
      <c r="K46" s="500">
        <v>89272.99</v>
      </c>
    </row>
    <row r="47" spans="1:11" ht="14.25">
      <c r="A47" s="667" t="s">
        <v>410</v>
      </c>
      <c r="B47" s="668">
        <v>701775</v>
      </c>
      <c r="C47" s="669" t="s">
        <v>275</v>
      </c>
      <c r="D47" s="670">
        <v>183</v>
      </c>
      <c r="E47" s="500">
        <v>52361.97</v>
      </c>
      <c r="F47" s="671">
        <v>1700</v>
      </c>
      <c r="G47" s="672">
        <f t="shared" si="14"/>
        <v>311100</v>
      </c>
      <c r="H47" s="672">
        <f t="shared" si="16"/>
        <v>89015349</v>
      </c>
      <c r="I47" s="656"/>
      <c r="J47" s="673" t="s">
        <v>281</v>
      </c>
      <c r="K47" s="500">
        <v>78628.990000000005</v>
      </c>
    </row>
    <row r="48" spans="1:11" ht="14.25">
      <c r="A48" s="667" t="s">
        <v>410</v>
      </c>
      <c r="B48" s="668">
        <v>646548</v>
      </c>
      <c r="C48" s="669" t="s">
        <v>277</v>
      </c>
      <c r="D48" s="670">
        <v>119.2</v>
      </c>
      <c r="E48" s="500">
        <v>68213.75</v>
      </c>
      <c r="F48" s="671">
        <v>1700</v>
      </c>
      <c r="G48" s="672">
        <f t="shared" si="14"/>
        <v>202640</v>
      </c>
      <c r="H48" s="672">
        <f t="shared" si="16"/>
        <v>115963375</v>
      </c>
      <c r="I48" s="656"/>
      <c r="J48" s="673" t="s">
        <v>282</v>
      </c>
      <c r="K48" s="500">
        <v>82691.98</v>
      </c>
    </row>
    <row r="49" spans="1:11" ht="14.25">
      <c r="A49" s="667" t="s">
        <v>410</v>
      </c>
      <c r="B49" s="668">
        <v>589462</v>
      </c>
      <c r="C49" s="669" t="s">
        <v>279</v>
      </c>
      <c r="D49" s="670">
        <v>268.8</v>
      </c>
      <c r="E49" s="500">
        <v>76912.13</v>
      </c>
      <c r="F49" s="671">
        <v>1700</v>
      </c>
      <c r="G49" s="672">
        <f t="shared" si="14"/>
        <v>456960</v>
      </c>
      <c r="H49" s="672">
        <f t="shared" si="16"/>
        <v>130750621.00000001</v>
      </c>
      <c r="I49" s="656"/>
      <c r="J49" s="673" t="s">
        <v>415</v>
      </c>
      <c r="K49" s="500">
        <v>48070.06</v>
      </c>
    </row>
    <row r="50" spans="1:11" ht="14.25">
      <c r="A50" s="667" t="s">
        <v>410</v>
      </c>
      <c r="B50" s="668">
        <v>589466</v>
      </c>
      <c r="C50" s="669" t="s">
        <v>281</v>
      </c>
      <c r="D50" s="670">
        <v>274.8</v>
      </c>
      <c r="E50" s="500">
        <v>78628.990000000005</v>
      </c>
      <c r="F50" s="671">
        <v>1700</v>
      </c>
      <c r="G50" s="672">
        <f t="shared" si="14"/>
        <v>467160</v>
      </c>
      <c r="H50" s="672">
        <f t="shared" si="16"/>
        <v>133669283.00000001</v>
      </c>
      <c r="I50" s="656"/>
      <c r="J50" s="673" t="s">
        <v>279</v>
      </c>
      <c r="K50" s="500">
        <v>76912.13</v>
      </c>
    </row>
    <row r="51" spans="1:11" ht="14.25">
      <c r="A51" s="667" t="s">
        <v>410</v>
      </c>
      <c r="B51" s="668">
        <v>116180</v>
      </c>
      <c r="C51" s="669" t="s">
        <v>282</v>
      </c>
      <c r="D51" s="670">
        <v>144.5</v>
      </c>
      <c r="E51" s="500">
        <v>82691.98</v>
      </c>
      <c r="F51" s="671">
        <v>1700</v>
      </c>
      <c r="G51" s="672">
        <f t="shared" si="14"/>
        <v>245650</v>
      </c>
      <c r="H51" s="672">
        <f t="shared" si="16"/>
        <v>140576366</v>
      </c>
      <c r="I51" s="656"/>
      <c r="J51" s="673" t="s">
        <v>277</v>
      </c>
      <c r="K51" s="500">
        <v>68213.75</v>
      </c>
    </row>
    <row r="52" spans="1:11" ht="14.25">
      <c r="A52" s="667" t="s">
        <v>410</v>
      </c>
      <c r="B52" s="668">
        <v>695413</v>
      </c>
      <c r="C52" s="669" t="s">
        <v>283</v>
      </c>
      <c r="D52" s="670">
        <v>244.5</v>
      </c>
      <c r="E52" s="500">
        <v>69959.13</v>
      </c>
      <c r="F52" s="671">
        <v>1700</v>
      </c>
      <c r="G52" s="672">
        <f t="shared" si="14"/>
        <v>415650</v>
      </c>
      <c r="H52" s="672">
        <f t="shared" si="16"/>
        <v>118930521.00000001</v>
      </c>
      <c r="I52" s="656"/>
      <c r="J52" s="673" t="s">
        <v>416</v>
      </c>
      <c r="K52" s="500">
        <v>82119.740000000005</v>
      </c>
    </row>
    <row r="53" spans="1:11" ht="14.25">
      <c r="A53" s="667" t="s">
        <v>410</v>
      </c>
      <c r="B53" s="668">
        <v>699883</v>
      </c>
      <c r="C53" s="669" t="s">
        <v>284</v>
      </c>
      <c r="D53" s="670">
        <v>168</v>
      </c>
      <c r="E53" s="500">
        <v>48070.06</v>
      </c>
      <c r="F53" s="671">
        <v>1700</v>
      </c>
      <c r="G53" s="672">
        <f t="shared" si="14"/>
        <v>285600</v>
      </c>
      <c r="H53" s="672">
        <f t="shared" si="16"/>
        <v>81719102</v>
      </c>
      <c r="I53" s="656"/>
      <c r="J53" s="673" t="s">
        <v>283</v>
      </c>
      <c r="K53" s="500">
        <v>69959.13</v>
      </c>
    </row>
    <row r="54" spans="1:11" ht="14.25">
      <c r="A54" s="667" t="s">
        <v>410</v>
      </c>
      <c r="B54" s="668">
        <v>645380</v>
      </c>
      <c r="C54" s="669" t="s">
        <v>285</v>
      </c>
      <c r="D54" s="670">
        <v>249.6</v>
      </c>
      <c r="E54" s="500">
        <v>35709.199999999997</v>
      </c>
      <c r="F54" s="671">
        <v>1700</v>
      </c>
      <c r="G54" s="672">
        <f t="shared" si="14"/>
        <v>424320</v>
      </c>
      <c r="H54" s="672">
        <f t="shared" si="16"/>
        <v>60705639.999999993</v>
      </c>
      <c r="I54" s="656"/>
      <c r="J54" s="673" t="s">
        <v>417</v>
      </c>
      <c r="K54" s="500">
        <v>97856.82</v>
      </c>
    </row>
    <row r="55" spans="1:11" ht="14.25">
      <c r="A55" s="667" t="s">
        <v>410</v>
      </c>
      <c r="B55" s="668">
        <v>578785</v>
      </c>
      <c r="C55" s="669" t="s">
        <v>288</v>
      </c>
      <c r="D55" s="670">
        <v>76.5</v>
      </c>
      <c r="E55" s="500">
        <v>131334.43</v>
      </c>
      <c r="F55" s="671">
        <v>1700</v>
      </c>
      <c r="G55" s="672">
        <f t="shared" si="14"/>
        <v>130050</v>
      </c>
      <c r="H55" s="672">
        <f t="shared" si="16"/>
        <v>223268531</v>
      </c>
      <c r="I55" s="656"/>
      <c r="J55" s="656"/>
      <c r="K55" s="656"/>
    </row>
    <row r="56" spans="1:11" ht="12.75">
      <c r="I56" s="656"/>
      <c r="J56" s="656"/>
      <c r="K56" s="656"/>
    </row>
    <row r="57" spans="1:11" ht="12.75">
      <c r="I57" s="656"/>
      <c r="J57" s="656"/>
      <c r="K57" s="656"/>
    </row>
    <row r="58" spans="1:11" ht="12.75">
      <c r="I58" s="656"/>
      <c r="J58" s="656"/>
      <c r="K58" s="656"/>
    </row>
    <row r="59" spans="1:11" ht="12.75">
      <c r="I59" s="656"/>
      <c r="J59" s="656"/>
      <c r="K59" s="656"/>
    </row>
    <row r="60" spans="1:11" ht="12.75">
      <c r="I60" s="656"/>
      <c r="J60" s="656"/>
      <c r="K60" s="656"/>
    </row>
    <row r="61" spans="1:11" ht="12.75">
      <c r="I61" s="656"/>
      <c r="J61" s="656"/>
      <c r="K61" s="656"/>
    </row>
    <row r="62" spans="1:11" ht="12.75">
      <c r="I62" s="656"/>
      <c r="J62" s="656"/>
      <c r="K62" s="656"/>
    </row>
    <row r="63" spans="1:11" ht="12.75">
      <c r="I63" s="656"/>
      <c r="J63" s="656"/>
      <c r="K63" s="656"/>
    </row>
    <row r="64" spans="1:11" ht="12.75">
      <c r="I64" s="656"/>
      <c r="J64" s="656"/>
      <c r="K64" s="656"/>
    </row>
    <row r="65" spans="9:11" ht="12.75">
      <c r="I65" s="656"/>
      <c r="J65" s="656"/>
      <c r="K65" s="656"/>
    </row>
    <row r="66" spans="9:11" ht="12.75">
      <c r="I66" s="656"/>
      <c r="J66" s="656"/>
      <c r="K66" s="656"/>
    </row>
    <row r="67" spans="9:11" ht="12.75">
      <c r="I67" s="656"/>
      <c r="J67" s="656"/>
      <c r="K67" s="656"/>
    </row>
    <row r="68" spans="9:11" ht="12.75">
      <c r="I68" s="656"/>
      <c r="J68" s="656"/>
      <c r="K68" s="656"/>
    </row>
    <row r="69" spans="9:11" ht="12.75">
      <c r="I69" s="656"/>
      <c r="J69" s="656"/>
      <c r="K69" s="656"/>
    </row>
    <row r="70" spans="9:11" ht="12.75">
      <c r="I70" s="656"/>
      <c r="J70" s="656"/>
      <c r="K70" s="656"/>
    </row>
    <row r="71" spans="9:11" ht="12.75">
      <c r="I71" s="656"/>
      <c r="J71" s="656"/>
      <c r="K71" s="656"/>
    </row>
    <row r="72" spans="9:11" ht="12.75">
      <c r="I72" s="656"/>
      <c r="J72" s="656"/>
      <c r="K72" s="656"/>
    </row>
    <row r="73" spans="9:11" ht="12.75">
      <c r="I73" s="656"/>
      <c r="J73" s="656"/>
      <c r="K73" s="656"/>
    </row>
    <row r="74" spans="9:11" ht="12.75">
      <c r="I74" s="656"/>
      <c r="J74" s="656"/>
      <c r="K74" s="656"/>
    </row>
    <row r="75" spans="9:11" ht="12.75">
      <c r="I75" s="656"/>
      <c r="J75" s="656"/>
      <c r="K75" s="656"/>
    </row>
    <row r="76" spans="9:11" ht="12.75">
      <c r="I76" s="656"/>
      <c r="J76" s="656"/>
      <c r="K76" s="656"/>
    </row>
    <row r="77" spans="9:11" ht="12.75">
      <c r="I77" s="656"/>
      <c r="J77" s="656"/>
      <c r="K77" s="656"/>
    </row>
    <row r="78" spans="9:11" ht="12.75">
      <c r="I78" s="656"/>
      <c r="J78" s="656"/>
      <c r="K78" s="656"/>
    </row>
    <row r="79" spans="9:11" ht="12.75">
      <c r="I79" s="656"/>
      <c r="J79" s="656"/>
      <c r="K79" s="656"/>
    </row>
    <row r="80" spans="9:11" ht="12.75">
      <c r="I80" s="656"/>
      <c r="J80" s="656"/>
      <c r="K80" s="656"/>
    </row>
    <row r="81" spans="9:11" ht="12.75">
      <c r="I81" s="656"/>
      <c r="J81" s="656"/>
      <c r="K81" s="656"/>
    </row>
    <row r="82" spans="9:11" ht="12.75">
      <c r="I82" s="656"/>
      <c r="J82" s="656"/>
      <c r="K82" s="656"/>
    </row>
    <row r="83" spans="9:11" ht="12.75">
      <c r="I83" s="656"/>
      <c r="J83" s="656"/>
      <c r="K83" s="656"/>
    </row>
    <row r="84" spans="9:11" ht="12.75">
      <c r="I84" s="656"/>
      <c r="J84" s="656"/>
      <c r="K84" s="656"/>
    </row>
    <row r="85" spans="9:11" ht="12.75">
      <c r="I85" s="656"/>
      <c r="J85" s="656"/>
      <c r="K85" s="656"/>
    </row>
    <row r="86" spans="9:11" ht="12.75">
      <c r="I86" s="656"/>
      <c r="J86" s="656"/>
      <c r="K86" s="656"/>
    </row>
    <row r="87" spans="9:11" ht="12.75">
      <c r="I87" s="656"/>
      <c r="J87" s="656"/>
      <c r="K87" s="656"/>
    </row>
    <row r="88" spans="9:11" ht="12.75">
      <c r="I88" s="656"/>
      <c r="J88" s="656"/>
      <c r="K88" s="656"/>
    </row>
    <row r="89" spans="9:11" ht="12.75">
      <c r="I89" s="656"/>
      <c r="J89" s="656"/>
      <c r="K89" s="656"/>
    </row>
    <row r="90" spans="9:11" ht="12.75">
      <c r="I90" s="656"/>
      <c r="J90" s="656"/>
      <c r="K90" s="656"/>
    </row>
    <row r="91" spans="9:11" ht="12.75">
      <c r="I91" s="656"/>
      <c r="J91" s="656"/>
      <c r="K91" s="656"/>
    </row>
    <row r="92" spans="9:11" ht="12.75">
      <c r="I92" s="656"/>
      <c r="J92" s="656"/>
      <c r="K92" s="656"/>
    </row>
    <row r="93" spans="9:11" ht="12.75">
      <c r="I93" s="656"/>
      <c r="J93" s="656"/>
      <c r="K93" s="656"/>
    </row>
    <row r="94" spans="9:11" ht="12.75">
      <c r="I94" s="656"/>
      <c r="J94" s="656"/>
      <c r="K94" s="656"/>
    </row>
    <row r="95" spans="9:11" ht="12.75">
      <c r="I95" s="656"/>
      <c r="J95" s="656"/>
      <c r="K95" s="656"/>
    </row>
    <row r="96" spans="9:11" ht="12.75">
      <c r="I96" s="656"/>
      <c r="J96" s="656"/>
      <c r="K96" s="656"/>
    </row>
    <row r="97" spans="9:11" ht="12.75">
      <c r="I97" s="656"/>
      <c r="J97" s="656"/>
      <c r="K97" s="656"/>
    </row>
    <row r="98" spans="9:11" ht="12.75">
      <c r="I98" s="656"/>
      <c r="J98" s="656"/>
      <c r="K98" s="656"/>
    </row>
    <row r="99" spans="9:11" ht="12.75">
      <c r="I99" s="656"/>
      <c r="J99" s="656"/>
      <c r="K99" s="656"/>
    </row>
    <row r="100" spans="9:11" ht="12.75">
      <c r="I100" s="656"/>
      <c r="J100" s="656"/>
      <c r="K100" s="656"/>
    </row>
    <row r="101" spans="9:11" ht="12.75">
      <c r="I101" s="656"/>
      <c r="J101" s="656"/>
      <c r="K101" s="656"/>
    </row>
    <row r="102" spans="9:11" ht="12.75">
      <c r="I102" s="656"/>
      <c r="J102" s="656"/>
      <c r="K102" s="656"/>
    </row>
    <row r="103" spans="9:11" ht="12.75">
      <c r="I103" s="656"/>
      <c r="J103" s="656"/>
      <c r="K103" s="656"/>
    </row>
    <row r="104" spans="9:11" ht="12.75">
      <c r="I104" s="656"/>
      <c r="J104" s="656"/>
      <c r="K104" s="656"/>
    </row>
    <row r="105" spans="9:11" ht="12.75">
      <c r="I105" s="656"/>
      <c r="J105" s="656"/>
      <c r="K105" s="656"/>
    </row>
    <row r="106" spans="9:11" ht="12.75">
      <c r="I106" s="656"/>
      <c r="J106" s="656"/>
      <c r="K106" s="656"/>
    </row>
    <row r="107" spans="9:11" ht="12.75">
      <c r="I107" s="656"/>
      <c r="J107" s="656"/>
      <c r="K107" s="656"/>
    </row>
    <row r="108" spans="9:11" ht="12.75">
      <c r="I108" s="656"/>
      <c r="J108" s="656"/>
      <c r="K108" s="656"/>
    </row>
    <row r="109" spans="9:11" ht="12.75">
      <c r="I109" s="656"/>
      <c r="J109" s="656"/>
      <c r="K109" s="656"/>
    </row>
    <row r="110" spans="9:11" ht="12.75">
      <c r="I110" s="656"/>
      <c r="J110" s="656"/>
      <c r="K110" s="656"/>
    </row>
    <row r="111" spans="9:11" ht="12.75">
      <c r="I111" s="656"/>
      <c r="J111" s="656"/>
      <c r="K111" s="656"/>
    </row>
    <row r="112" spans="9:11" ht="12.75">
      <c r="I112" s="656"/>
      <c r="J112" s="656"/>
      <c r="K112" s="656"/>
    </row>
    <row r="113" spans="9:11" ht="12.75">
      <c r="I113" s="656"/>
      <c r="J113" s="656"/>
      <c r="K113" s="656"/>
    </row>
    <row r="114" spans="9:11" ht="12.75">
      <c r="I114" s="656"/>
      <c r="J114" s="656"/>
      <c r="K114" s="656"/>
    </row>
    <row r="115" spans="9:11" ht="12.75">
      <c r="I115" s="656"/>
      <c r="J115" s="656"/>
      <c r="K115" s="656"/>
    </row>
    <row r="116" spans="9:11" ht="12.75">
      <c r="I116" s="656"/>
      <c r="J116" s="656"/>
      <c r="K116" s="656"/>
    </row>
    <row r="117" spans="9:11" ht="12.75">
      <c r="I117" s="656"/>
      <c r="J117" s="656"/>
      <c r="K117" s="656"/>
    </row>
    <row r="118" spans="9:11" ht="12.75">
      <c r="I118" s="656"/>
      <c r="J118" s="656"/>
      <c r="K118" s="656"/>
    </row>
    <row r="119" spans="9:11" ht="12.75">
      <c r="I119" s="656"/>
      <c r="J119" s="656"/>
      <c r="K119" s="656"/>
    </row>
    <row r="120" spans="9:11" ht="12.75">
      <c r="I120" s="656"/>
      <c r="J120" s="656"/>
      <c r="K120" s="656"/>
    </row>
    <row r="121" spans="9:11" ht="12.75">
      <c r="I121" s="656"/>
      <c r="J121" s="656"/>
      <c r="K121" s="656"/>
    </row>
    <row r="122" spans="9:11" ht="12.75">
      <c r="I122" s="656"/>
      <c r="J122" s="656"/>
      <c r="K122" s="656"/>
    </row>
    <row r="123" spans="9:11" ht="12.75">
      <c r="I123" s="656"/>
      <c r="J123" s="656"/>
      <c r="K123" s="656"/>
    </row>
    <row r="124" spans="9:11" ht="12.75">
      <c r="I124" s="656"/>
      <c r="J124" s="656"/>
      <c r="K124" s="656"/>
    </row>
    <row r="125" spans="9:11" ht="12.75">
      <c r="I125" s="656"/>
      <c r="J125" s="656"/>
      <c r="K125" s="656"/>
    </row>
    <row r="126" spans="9:11" ht="12.75">
      <c r="I126" s="656"/>
      <c r="J126" s="656"/>
      <c r="K126" s="656"/>
    </row>
    <row r="127" spans="9:11" ht="12.75">
      <c r="I127" s="656"/>
      <c r="J127" s="656"/>
      <c r="K127" s="656"/>
    </row>
    <row r="128" spans="9:11" ht="12.75">
      <c r="I128" s="656"/>
      <c r="J128" s="656"/>
      <c r="K128" s="656"/>
    </row>
    <row r="129" spans="9:11" ht="12.75">
      <c r="I129" s="656"/>
      <c r="J129" s="656"/>
      <c r="K129" s="656"/>
    </row>
    <row r="130" spans="9:11" ht="12.75">
      <c r="I130" s="656"/>
      <c r="J130" s="656"/>
      <c r="K130" s="656"/>
    </row>
    <row r="131" spans="9:11" ht="12.75">
      <c r="I131" s="656"/>
      <c r="J131" s="656"/>
      <c r="K131" s="656"/>
    </row>
    <row r="132" spans="9:11" ht="12.75">
      <c r="I132" s="656"/>
      <c r="J132" s="656"/>
      <c r="K132" s="656"/>
    </row>
    <row r="133" spans="9:11" ht="12.75">
      <c r="I133" s="656"/>
      <c r="J133" s="656"/>
      <c r="K133" s="656"/>
    </row>
    <row r="134" spans="9:11" ht="12.75">
      <c r="I134" s="656"/>
      <c r="J134" s="656"/>
      <c r="K134" s="656"/>
    </row>
    <row r="135" spans="9:11" ht="12.75">
      <c r="I135" s="656"/>
      <c r="J135" s="656"/>
      <c r="K135" s="656"/>
    </row>
    <row r="136" spans="9:11" ht="12.75">
      <c r="I136" s="656"/>
      <c r="J136" s="656"/>
      <c r="K136" s="656"/>
    </row>
    <row r="137" spans="9:11" ht="12.75">
      <c r="I137" s="656"/>
      <c r="J137" s="656"/>
      <c r="K137" s="656"/>
    </row>
    <row r="138" spans="9:11" ht="12.75">
      <c r="I138" s="656"/>
      <c r="J138" s="656"/>
      <c r="K138" s="656"/>
    </row>
    <row r="139" spans="9:11" ht="12.75">
      <c r="I139" s="656"/>
      <c r="J139" s="656"/>
      <c r="K139" s="656"/>
    </row>
    <row r="140" spans="9:11" ht="12.75">
      <c r="I140" s="656"/>
      <c r="J140" s="656"/>
      <c r="K140" s="656"/>
    </row>
    <row r="141" spans="9:11" ht="12.75">
      <c r="I141" s="656"/>
      <c r="J141" s="656"/>
      <c r="K141" s="656"/>
    </row>
    <row r="142" spans="9:11" ht="12.75">
      <c r="I142" s="656"/>
      <c r="J142" s="656"/>
      <c r="K142" s="656"/>
    </row>
    <row r="143" spans="9:11" ht="12.75">
      <c r="I143" s="656"/>
      <c r="J143" s="656"/>
      <c r="K143" s="656"/>
    </row>
    <row r="144" spans="9:11" ht="12.75">
      <c r="I144" s="656"/>
      <c r="J144" s="656"/>
      <c r="K144" s="656"/>
    </row>
    <row r="145" spans="9:11" ht="12.75">
      <c r="I145" s="656"/>
      <c r="J145" s="656"/>
      <c r="K145" s="656"/>
    </row>
    <row r="146" spans="9:11" ht="12.75">
      <c r="I146" s="656"/>
      <c r="J146" s="656"/>
      <c r="K146" s="656"/>
    </row>
    <row r="147" spans="9:11" ht="12.75">
      <c r="I147" s="656"/>
      <c r="J147" s="656"/>
      <c r="K147" s="656"/>
    </row>
    <row r="148" spans="9:11" ht="12.75">
      <c r="I148" s="656"/>
      <c r="J148" s="656"/>
      <c r="K148" s="656"/>
    </row>
    <row r="149" spans="9:11" ht="12.75">
      <c r="I149" s="656"/>
      <c r="J149" s="656"/>
      <c r="K149" s="656"/>
    </row>
    <row r="150" spans="9:11" ht="12.75">
      <c r="I150" s="656"/>
      <c r="J150" s="656"/>
      <c r="K150" s="656"/>
    </row>
    <row r="151" spans="9:11" ht="12.75">
      <c r="I151" s="656"/>
      <c r="J151" s="656"/>
      <c r="K151" s="656"/>
    </row>
    <row r="152" spans="9:11" ht="12.75">
      <c r="I152" s="656"/>
      <c r="J152" s="656"/>
      <c r="K152" s="656"/>
    </row>
    <row r="153" spans="9:11" ht="12.75">
      <c r="I153" s="656"/>
      <c r="J153" s="656"/>
      <c r="K153" s="656"/>
    </row>
    <row r="154" spans="9:11" ht="12.75">
      <c r="I154" s="656"/>
      <c r="J154" s="656"/>
      <c r="K154" s="656"/>
    </row>
    <row r="155" spans="9:11" ht="12.75">
      <c r="I155" s="656"/>
      <c r="J155" s="656"/>
      <c r="K155" s="656"/>
    </row>
    <row r="156" spans="9:11" ht="12.75">
      <c r="I156" s="656"/>
      <c r="J156" s="656"/>
      <c r="K156" s="656"/>
    </row>
    <row r="157" spans="9:11" ht="12.75">
      <c r="I157" s="656"/>
      <c r="J157" s="656"/>
      <c r="K157" s="656"/>
    </row>
    <row r="158" spans="9:11" ht="12.75">
      <c r="I158" s="656"/>
      <c r="J158" s="656"/>
      <c r="K158" s="656"/>
    </row>
    <row r="159" spans="9:11" ht="12.75">
      <c r="I159" s="656"/>
      <c r="J159" s="656"/>
      <c r="K159" s="656"/>
    </row>
    <row r="160" spans="9:11" ht="12.75">
      <c r="I160" s="656"/>
      <c r="J160" s="656"/>
      <c r="K160" s="656"/>
    </row>
    <row r="161" spans="9:11" ht="12.75">
      <c r="I161" s="656"/>
      <c r="J161" s="656"/>
      <c r="K161" s="656"/>
    </row>
    <row r="162" spans="9:11" ht="12.75">
      <c r="I162" s="656"/>
      <c r="J162" s="656"/>
      <c r="K162" s="656"/>
    </row>
    <row r="163" spans="9:11" ht="12.75">
      <c r="I163" s="656"/>
      <c r="J163" s="656"/>
      <c r="K163" s="656"/>
    </row>
    <row r="164" spans="9:11" ht="12.75">
      <c r="I164" s="656"/>
      <c r="J164" s="656"/>
      <c r="K164" s="656"/>
    </row>
    <row r="165" spans="9:11" ht="12.75">
      <c r="I165" s="656"/>
      <c r="J165" s="656"/>
      <c r="K165" s="656"/>
    </row>
    <row r="166" spans="9:11" ht="12.75">
      <c r="I166" s="656"/>
      <c r="J166" s="656"/>
      <c r="K166" s="656"/>
    </row>
    <row r="167" spans="9:11" ht="12.75">
      <c r="I167" s="656"/>
      <c r="J167" s="656"/>
      <c r="K167" s="656"/>
    </row>
    <row r="168" spans="9:11" ht="12.75">
      <c r="I168" s="656"/>
      <c r="J168" s="656"/>
      <c r="K168" s="656"/>
    </row>
    <row r="169" spans="9:11" ht="12.75">
      <c r="I169" s="656"/>
      <c r="J169" s="656"/>
      <c r="K169" s="656"/>
    </row>
    <row r="170" spans="9:11" ht="12.75">
      <c r="I170" s="656"/>
      <c r="J170" s="656"/>
      <c r="K170" s="656"/>
    </row>
    <row r="171" spans="9:11" ht="12.75">
      <c r="I171" s="656"/>
      <c r="J171" s="656"/>
      <c r="K171" s="656"/>
    </row>
    <row r="172" spans="9:11" ht="12.75">
      <c r="I172" s="656"/>
      <c r="J172" s="656"/>
      <c r="K172" s="656"/>
    </row>
    <row r="173" spans="9:11" ht="12.75">
      <c r="I173" s="656"/>
      <c r="J173" s="656"/>
      <c r="K173" s="656"/>
    </row>
    <row r="174" spans="9:11" ht="12.75">
      <c r="I174" s="656"/>
      <c r="J174" s="656"/>
      <c r="K174" s="656"/>
    </row>
    <row r="175" spans="9:11" ht="12.75">
      <c r="I175" s="656"/>
      <c r="J175" s="656"/>
      <c r="K175" s="656"/>
    </row>
    <row r="176" spans="9:11" ht="12.75">
      <c r="I176" s="656"/>
      <c r="J176" s="656"/>
      <c r="K176" s="656"/>
    </row>
    <row r="177" spans="9:11" ht="12.75">
      <c r="I177" s="656"/>
      <c r="J177" s="656"/>
      <c r="K177" s="656"/>
    </row>
    <row r="178" spans="9:11" ht="12.75">
      <c r="I178" s="656"/>
      <c r="J178" s="656"/>
      <c r="K178" s="656"/>
    </row>
    <row r="179" spans="9:11" ht="12.75">
      <c r="I179" s="656"/>
      <c r="J179" s="656"/>
      <c r="K179" s="656"/>
    </row>
    <row r="180" spans="9:11" ht="12.75">
      <c r="I180" s="656"/>
      <c r="J180" s="656"/>
      <c r="K180" s="656"/>
    </row>
    <row r="181" spans="9:11" ht="12.75">
      <c r="I181" s="656"/>
      <c r="J181" s="656"/>
      <c r="K181" s="656"/>
    </row>
    <row r="182" spans="9:11" ht="12.75">
      <c r="I182" s="656"/>
      <c r="J182" s="656"/>
      <c r="K182" s="656"/>
    </row>
    <row r="183" spans="9:11" ht="12.75">
      <c r="I183" s="656"/>
      <c r="J183" s="656"/>
      <c r="K183" s="656"/>
    </row>
    <row r="184" spans="9:11" ht="12.75">
      <c r="I184" s="656"/>
      <c r="J184" s="656"/>
      <c r="K184" s="656"/>
    </row>
    <row r="185" spans="9:11" ht="12.75">
      <c r="I185" s="656"/>
      <c r="J185" s="656"/>
      <c r="K185" s="656"/>
    </row>
    <row r="186" spans="9:11" ht="12.75">
      <c r="I186" s="656"/>
      <c r="J186" s="656"/>
      <c r="K186" s="656"/>
    </row>
    <row r="187" spans="9:11" ht="12.75">
      <c r="I187" s="656"/>
      <c r="J187" s="656"/>
      <c r="K187" s="656"/>
    </row>
    <row r="188" spans="9:11" ht="12.75">
      <c r="I188" s="656"/>
      <c r="J188" s="656"/>
      <c r="K188" s="656"/>
    </row>
    <row r="189" spans="9:11" ht="12.75">
      <c r="I189" s="656"/>
      <c r="J189" s="656"/>
      <c r="K189" s="656"/>
    </row>
    <row r="190" spans="9:11" ht="12.75">
      <c r="I190" s="656"/>
      <c r="J190" s="656"/>
      <c r="K190" s="656"/>
    </row>
    <row r="191" spans="9:11" ht="12.75">
      <c r="I191" s="656"/>
      <c r="J191" s="656"/>
      <c r="K191" s="656"/>
    </row>
    <row r="192" spans="9:11" ht="12.75">
      <c r="I192" s="656"/>
      <c r="J192" s="656"/>
      <c r="K192" s="656"/>
    </row>
    <row r="193" spans="9:11" ht="12.75">
      <c r="I193" s="656"/>
      <c r="J193" s="656"/>
      <c r="K193" s="656"/>
    </row>
    <row r="194" spans="9:11" ht="12.75">
      <c r="I194" s="656"/>
      <c r="J194" s="656"/>
      <c r="K194" s="656"/>
    </row>
    <row r="195" spans="9:11" ht="12.75">
      <c r="I195" s="656"/>
      <c r="J195" s="656"/>
      <c r="K195" s="656"/>
    </row>
    <row r="196" spans="9:11" ht="12.75">
      <c r="I196" s="656"/>
      <c r="J196" s="656"/>
      <c r="K196" s="656"/>
    </row>
    <row r="197" spans="9:11" ht="12.75">
      <c r="I197" s="656"/>
      <c r="J197" s="656"/>
      <c r="K197" s="656"/>
    </row>
    <row r="198" spans="9:11" ht="12.75">
      <c r="I198" s="656"/>
      <c r="J198" s="656"/>
      <c r="K198" s="656"/>
    </row>
    <row r="199" spans="9:11" ht="12.75">
      <c r="I199" s="656"/>
      <c r="J199" s="656"/>
      <c r="K199" s="656"/>
    </row>
    <row r="200" spans="9:11" ht="12.75">
      <c r="I200" s="656"/>
      <c r="J200" s="656"/>
      <c r="K200" s="656"/>
    </row>
    <row r="201" spans="9:11" ht="12.75">
      <c r="I201" s="656"/>
      <c r="J201" s="656"/>
      <c r="K201" s="656"/>
    </row>
    <row r="202" spans="9:11" ht="12.75">
      <c r="I202" s="656"/>
      <c r="J202" s="656"/>
      <c r="K202" s="656"/>
    </row>
    <row r="203" spans="9:11" ht="12.75">
      <c r="I203" s="656"/>
      <c r="J203" s="656"/>
      <c r="K203" s="656"/>
    </row>
    <row r="204" spans="9:11" ht="12.75">
      <c r="I204" s="656"/>
      <c r="J204" s="656"/>
      <c r="K204" s="656"/>
    </row>
    <row r="205" spans="9:11" ht="12.75">
      <c r="I205" s="656"/>
      <c r="J205" s="656"/>
      <c r="K205" s="656"/>
    </row>
    <row r="206" spans="9:11" ht="12.75">
      <c r="I206" s="656"/>
      <c r="J206" s="656"/>
      <c r="K206" s="656"/>
    </row>
    <row r="207" spans="9:11" ht="12.75">
      <c r="I207" s="656"/>
      <c r="J207" s="656"/>
      <c r="K207" s="656"/>
    </row>
    <row r="208" spans="9:11" ht="12.75">
      <c r="I208" s="656"/>
      <c r="J208" s="656"/>
      <c r="K208" s="656"/>
    </row>
    <row r="209" spans="9:11" ht="12.75">
      <c r="I209" s="656"/>
      <c r="J209" s="656"/>
      <c r="K209" s="656"/>
    </row>
    <row r="210" spans="9:11" ht="12.75">
      <c r="I210" s="656"/>
      <c r="J210" s="656"/>
      <c r="K210" s="656"/>
    </row>
    <row r="211" spans="9:11" ht="12.75">
      <c r="I211" s="656"/>
      <c r="J211" s="656"/>
      <c r="K211" s="656"/>
    </row>
    <row r="212" spans="9:11" ht="12.75">
      <c r="I212" s="656"/>
      <c r="J212" s="656"/>
      <c r="K212" s="656"/>
    </row>
    <row r="213" spans="9:11" ht="12.75">
      <c r="I213" s="656"/>
      <c r="J213" s="656"/>
      <c r="K213" s="656"/>
    </row>
    <row r="214" spans="9:11" ht="12.75">
      <c r="I214" s="656"/>
      <c r="J214" s="656"/>
      <c r="K214" s="656"/>
    </row>
    <row r="215" spans="9:11" ht="12.75">
      <c r="I215" s="656"/>
      <c r="J215" s="656"/>
      <c r="K215" s="656"/>
    </row>
    <row r="216" spans="9:11" ht="12.75">
      <c r="I216" s="656"/>
      <c r="J216" s="656"/>
      <c r="K216" s="656"/>
    </row>
    <row r="217" spans="9:11" ht="12.75">
      <c r="I217" s="656"/>
      <c r="J217" s="656"/>
      <c r="K217" s="656"/>
    </row>
    <row r="218" spans="9:11" ht="12.75">
      <c r="I218" s="656"/>
      <c r="J218" s="656"/>
      <c r="K218" s="656"/>
    </row>
    <row r="219" spans="9:11" ht="12.75">
      <c r="I219" s="656"/>
      <c r="J219" s="656"/>
      <c r="K219" s="656"/>
    </row>
    <row r="220" spans="9:11" ht="12.75">
      <c r="I220" s="656"/>
      <c r="J220" s="656"/>
      <c r="K220" s="656"/>
    </row>
    <row r="221" spans="9:11" ht="12.75">
      <c r="I221" s="656"/>
      <c r="J221" s="656"/>
      <c r="K221" s="656"/>
    </row>
    <row r="222" spans="9:11" ht="12.75">
      <c r="I222" s="656"/>
      <c r="J222" s="656"/>
      <c r="K222" s="656"/>
    </row>
    <row r="223" spans="9:11" ht="12.75">
      <c r="I223" s="656"/>
      <c r="J223" s="656"/>
      <c r="K223" s="656"/>
    </row>
    <row r="224" spans="9:11" ht="12.75">
      <c r="I224" s="656"/>
      <c r="J224" s="656"/>
      <c r="K224" s="656"/>
    </row>
    <row r="225" spans="9:11" ht="12.75">
      <c r="I225" s="656"/>
      <c r="J225" s="656"/>
      <c r="K225" s="656"/>
    </row>
    <row r="226" spans="9:11" ht="12.75">
      <c r="I226" s="656"/>
      <c r="J226" s="656"/>
      <c r="K226" s="656"/>
    </row>
    <row r="227" spans="9:11" ht="12.75">
      <c r="I227" s="656"/>
      <c r="J227" s="656"/>
      <c r="K227" s="656"/>
    </row>
    <row r="228" spans="9:11" ht="12.75">
      <c r="I228" s="656"/>
      <c r="J228" s="656"/>
      <c r="K228" s="656"/>
    </row>
    <row r="229" spans="9:11" ht="12.75">
      <c r="I229" s="656"/>
      <c r="J229" s="656"/>
      <c r="K229" s="656"/>
    </row>
    <row r="230" spans="9:11" ht="12.75">
      <c r="I230" s="656"/>
      <c r="J230" s="656"/>
      <c r="K230" s="656"/>
    </row>
    <row r="231" spans="9:11" ht="12.75">
      <c r="I231" s="656"/>
      <c r="J231" s="656"/>
      <c r="K231" s="656"/>
    </row>
    <row r="232" spans="9:11" ht="12.75">
      <c r="I232" s="656"/>
      <c r="J232" s="656"/>
      <c r="K232" s="656"/>
    </row>
    <row r="233" spans="9:11" ht="12.75">
      <c r="I233" s="656"/>
      <c r="J233" s="656"/>
      <c r="K233" s="656"/>
    </row>
    <row r="234" spans="9:11" ht="12.75">
      <c r="I234" s="656"/>
      <c r="J234" s="656"/>
      <c r="K234" s="656"/>
    </row>
    <row r="235" spans="9:11" ht="12.75">
      <c r="I235" s="656"/>
      <c r="J235" s="656"/>
      <c r="K235" s="656"/>
    </row>
    <row r="236" spans="9:11" ht="12.75">
      <c r="I236" s="656"/>
      <c r="J236" s="656"/>
      <c r="K236" s="656"/>
    </row>
    <row r="237" spans="9:11" ht="12.75">
      <c r="I237" s="656"/>
      <c r="J237" s="656"/>
      <c r="K237" s="656"/>
    </row>
    <row r="238" spans="9:11" ht="12.75">
      <c r="I238" s="656"/>
      <c r="J238" s="656"/>
      <c r="K238" s="656"/>
    </row>
    <row r="239" spans="9:11" ht="12.75">
      <c r="I239" s="656"/>
      <c r="J239" s="656"/>
      <c r="K239" s="656"/>
    </row>
    <row r="240" spans="9:11" ht="12.75">
      <c r="I240" s="656"/>
      <c r="J240" s="656"/>
      <c r="K240" s="656"/>
    </row>
    <row r="241" spans="9:11" ht="12.75">
      <c r="I241" s="656"/>
      <c r="J241" s="656"/>
      <c r="K241" s="656"/>
    </row>
    <row r="242" spans="9:11" ht="12.75">
      <c r="I242" s="656"/>
      <c r="J242" s="656"/>
      <c r="K242" s="656"/>
    </row>
    <row r="243" spans="9:11" ht="12.75">
      <c r="I243" s="656"/>
      <c r="J243" s="656"/>
      <c r="K243" s="656"/>
    </row>
    <row r="244" spans="9:11" ht="12.75">
      <c r="I244" s="656"/>
      <c r="J244" s="656"/>
      <c r="K244" s="656"/>
    </row>
    <row r="245" spans="9:11" ht="12.75">
      <c r="I245" s="656"/>
      <c r="J245" s="656"/>
      <c r="K245" s="656"/>
    </row>
    <row r="246" spans="9:11" ht="12.75">
      <c r="I246" s="656"/>
      <c r="J246" s="656"/>
      <c r="K246" s="656"/>
    </row>
    <row r="247" spans="9:11" ht="12.75">
      <c r="I247" s="656"/>
      <c r="J247" s="656"/>
      <c r="K247" s="656"/>
    </row>
    <row r="248" spans="9:11" ht="12.75">
      <c r="I248" s="656"/>
      <c r="J248" s="656"/>
      <c r="K248" s="656"/>
    </row>
    <row r="249" spans="9:11" ht="12.75">
      <c r="I249" s="656"/>
      <c r="J249" s="656"/>
      <c r="K249" s="656"/>
    </row>
    <row r="250" spans="9:11" ht="12.75">
      <c r="I250" s="656"/>
      <c r="J250" s="656"/>
      <c r="K250" s="656"/>
    </row>
    <row r="251" spans="9:11" ht="12.75">
      <c r="I251" s="656"/>
      <c r="J251" s="656"/>
      <c r="K251" s="656"/>
    </row>
    <row r="252" spans="9:11" ht="12.75">
      <c r="I252" s="656"/>
      <c r="J252" s="656"/>
      <c r="K252" s="656"/>
    </row>
    <row r="253" spans="9:11" ht="12.75">
      <c r="I253" s="656"/>
      <c r="J253" s="656"/>
      <c r="K253" s="656"/>
    </row>
    <row r="254" spans="9:11" ht="12.75">
      <c r="I254" s="656"/>
      <c r="J254" s="656"/>
      <c r="K254" s="656"/>
    </row>
    <row r="255" spans="9:11" ht="12.75">
      <c r="I255" s="656"/>
      <c r="J255" s="656"/>
      <c r="K255" s="656"/>
    </row>
    <row r="256" spans="9:11" ht="12.75">
      <c r="I256" s="656"/>
      <c r="J256" s="656"/>
      <c r="K256" s="656"/>
    </row>
    <row r="257" spans="9:11" ht="12.75">
      <c r="I257" s="656"/>
      <c r="J257" s="656"/>
      <c r="K257" s="656"/>
    </row>
    <row r="258" spans="9:11" ht="12.75">
      <c r="I258" s="656"/>
      <c r="J258" s="656"/>
      <c r="K258" s="656"/>
    </row>
    <row r="259" spans="9:11" ht="12.75">
      <c r="I259" s="656"/>
      <c r="J259" s="656"/>
      <c r="K259" s="656"/>
    </row>
    <row r="260" spans="9:11" ht="12.75">
      <c r="I260" s="656"/>
      <c r="J260" s="656"/>
      <c r="K260" s="656"/>
    </row>
    <row r="261" spans="9:11" ht="12.75">
      <c r="I261" s="656"/>
      <c r="J261" s="656"/>
      <c r="K261" s="656"/>
    </row>
    <row r="262" spans="9:11" ht="12.75">
      <c r="I262" s="656"/>
      <c r="J262" s="656"/>
      <c r="K262" s="656"/>
    </row>
    <row r="263" spans="9:11" ht="12.75">
      <c r="I263" s="656"/>
      <c r="J263" s="656"/>
      <c r="K263" s="656"/>
    </row>
    <row r="264" spans="9:11" ht="12.75">
      <c r="I264" s="656"/>
      <c r="J264" s="656"/>
      <c r="K264" s="656"/>
    </row>
    <row r="265" spans="9:11" ht="12.75">
      <c r="I265" s="656"/>
      <c r="J265" s="656"/>
      <c r="K265" s="656"/>
    </row>
    <row r="266" spans="9:11" ht="12.75">
      <c r="I266" s="656"/>
      <c r="J266" s="656"/>
      <c r="K266" s="656"/>
    </row>
    <row r="267" spans="9:11" ht="12.75">
      <c r="I267" s="656"/>
      <c r="J267" s="656"/>
      <c r="K267" s="656"/>
    </row>
    <row r="268" spans="9:11" ht="12.75">
      <c r="I268" s="656"/>
      <c r="J268" s="656"/>
      <c r="K268" s="656"/>
    </row>
    <row r="269" spans="9:11" ht="12.75">
      <c r="I269" s="656"/>
      <c r="J269" s="656"/>
      <c r="K269" s="656"/>
    </row>
    <row r="270" spans="9:11" ht="12.75">
      <c r="I270" s="656"/>
      <c r="J270" s="656"/>
      <c r="K270" s="656"/>
    </row>
    <row r="271" spans="9:11" ht="12.75">
      <c r="I271" s="656"/>
      <c r="J271" s="656"/>
      <c r="K271" s="656"/>
    </row>
    <row r="272" spans="9:11" ht="12.75">
      <c r="I272" s="656"/>
      <c r="J272" s="656"/>
      <c r="K272" s="656"/>
    </row>
    <row r="273" spans="9:11" ht="12.75">
      <c r="I273" s="656"/>
      <c r="J273" s="656"/>
      <c r="K273" s="656"/>
    </row>
    <row r="274" spans="9:11" ht="12.75">
      <c r="I274" s="656"/>
      <c r="J274" s="656"/>
      <c r="K274" s="656"/>
    </row>
    <row r="275" spans="9:11" ht="12.75">
      <c r="I275" s="656"/>
      <c r="J275" s="656"/>
      <c r="K275" s="656"/>
    </row>
    <row r="276" spans="9:11" ht="12.75">
      <c r="I276" s="656"/>
      <c r="J276" s="656"/>
      <c r="K276" s="656"/>
    </row>
    <row r="277" spans="9:11" ht="12.75">
      <c r="I277" s="656"/>
      <c r="J277" s="656"/>
      <c r="K277" s="656"/>
    </row>
    <row r="278" spans="9:11" ht="12.75">
      <c r="I278" s="656"/>
      <c r="J278" s="656"/>
      <c r="K278" s="656"/>
    </row>
    <row r="279" spans="9:11" ht="12.75">
      <c r="I279" s="656"/>
      <c r="J279" s="656"/>
      <c r="K279" s="656"/>
    </row>
    <row r="280" spans="9:11" ht="12.75">
      <c r="I280" s="656"/>
      <c r="J280" s="656"/>
      <c r="K280" s="656"/>
    </row>
    <row r="281" spans="9:11" ht="12.75">
      <c r="I281" s="656"/>
      <c r="J281" s="656"/>
      <c r="K281" s="656"/>
    </row>
    <row r="282" spans="9:11" ht="12.75">
      <c r="I282" s="656"/>
      <c r="J282" s="656"/>
      <c r="K282" s="656"/>
    </row>
    <row r="283" spans="9:11" ht="12.75">
      <c r="I283" s="656"/>
      <c r="J283" s="656"/>
      <c r="K283" s="656"/>
    </row>
    <row r="284" spans="9:11" ht="12.75">
      <c r="I284" s="656"/>
      <c r="J284" s="656"/>
      <c r="K284" s="656"/>
    </row>
    <row r="285" spans="9:11" ht="12.75">
      <c r="I285" s="656"/>
      <c r="J285" s="656"/>
      <c r="K285" s="656"/>
    </row>
    <row r="286" spans="9:11" ht="12.75">
      <c r="I286" s="656"/>
      <c r="J286" s="656"/>
      <c r="K286" s="656"/>
    </row>
    <row r="287" spans="9:11" ht="12.75">
      <c r="I287" s="656"/>
      <c r="J287" s="656"/>
      <c r="K287" s="656"/>
    </row>
    <row r="288" spans="9:11" ht="12.75">
      <c r="I288" s="656"/>
      <c r="J288" s="656"/>
      <c r="K288" s="656"/>
    </row>
    <row r="289" spans="9:11" ht="12.75">
      <c r="I289" s="656"/>
      <c r="J289" s="656"/>
      <c r="K289" s="656"/>
    </row>
    <row r="290" spans="9:11" ht="12.75">
      <c r="I290" s="656"/>
      <c r="J290" s="656"/>
      <c r="K290" s="656"/>
    </row>
    <row r="291" spans="9:11" ht="12.75">
      <c r="I291" s="656"/>
      <c r="J291" s="656"/>
      <c r="K291" s="656"/>
    </row>
    <row r="292" spans="9:11" ht="12.75">
      <c r="I292" s="656"/>
      <c r="J292" s="656"/>
      <c r="K292" s="656"/>
    </row>
    <row r="293" spans="9:11" ht="12.75">
      <c r="I293" s="656"/>
      <c r="J293" s="656"/>
      <c r="K293" s="656"/>
    </row>
    <row r="294" spans="9:11" ht="12.75">
      <c r="I294" s="656"/>
      <c r="J294" s="656"/>
      <c r="K294" s="656"/>
    </row>
    <row r="295" spans="9:11" ht="12.75">
      <c r="I295" s="656"/>
      <c r="J295" s="656"/>
      <c r="K295" s="656"/>
    </row>
    <row r="296" spans="9:11" ht="12.75">
      <c r="I296" s="656"/>
      <c r="J296" s="656"/>
      <c r="K296" s="656"/>
    </row>
    <row r="297" spans="9:11" ht="12.75">
      <c r="I297" s="656"/>
      <c r="J297" s="656"/>
      <c r="K297" s="656"/>
    </row>
    <row r="298" spans="9:11" ht="12.75">
      <c r="I298" s="656"/>
      <c r="J298" s="656"/>
      <c r="K298" s="656"/>
    </row>
    <row r="299" spans="9:11" ht="12.75">
      <c r="I299" s="656"/>
      <c r="J299" s="656"/>
      <c r="K299" s="656"/>
    </row>
    <row r="300" spans="9:11" ht="12.75">
      <c r="I300" s="656"/>
      <c r="J300" s="656"/>
      <c r="K300" s="656"/>
    </row>
    <row r="301" spans="9:11" ht="12.75">
      <c r="I301" s="656"/>
      <c r="J301" s="656"/>
      <c r="K301" s="656"/>
    </row>
    <row r="302" spans="9:11" ht="12.75">
      <c r="I302" s="656"/>
      <c r="J302" s="656"/>
      <c r="K302" s="656"/>
    </row>
    <row r="303" spans="9:11" ht="12.75">
      <c r="I303" s="656"/>
      <c r="J303" s="656"/>
      <c r="K303" s="656"/>
    </row>
    <row r="304" spans="9:11" ht="12.75">
      <c r="I304" s="656"/>
      <c r="J304" s="656"/>
      <c r="K304" s="656"/>
    </row>
    <row r="305" spans="9:11" ht="12.75">
      <c r="I305" s="656"/>
      <c r="J305" s="656"/>
      <c r="K305" s="656"/>
    </row>
    <row r="306" spans="9:11" ht="12.75">
      <c r="I306" s="656"/>
      <c r="J306" s="656"/>
      <c r="K306" s="656"/>
    </row>
    <row r="307" spans="9:11" ht="12.75">
      <c r="I307" s="656"/>
      <c r="J307" s="656"/>
      <c r="K307" s="656"/>
    </row>
    <row r="308" spans="9:11" ht="12.75">
      <c r="I308" s="656"/>
      <c r="J308" s="656"/>
      <c r="K308" s="656"/>
    </row>
    <row r="309" spans="9:11" ht="12.75">
      <c r="I309" s="656"/>
      <c r="J309" s="656"/>
      <c r="K309" s="656"/>
    </row>
    <row r="310" spans="9:11" ht="12.75">
      <c r="I310" s="656"/>
      <c r="J310" s="656"/>
      <c r="K310" s="656"/>
    </row>
    <row r="311" spans="9:11" ht="12.75">
      <c r="I311" s="656"/>
      <c r="J311" s="656"/>
      <c r="K311" s="656"/>
    </row>
    <row r="312" spans="9:11" ht="12.75">
      <c r="I312" s="656"/>
      <c r="J312" s="656"/>
      <c r="K312" s="656"/>
    </row>
    <row r="313" spans="9:11" ht="12.75">
      <c r="I313" s="656"/>
      <c r="J313" s="656"/>
      <c r="K313" s="656"/>
    </row>
    <row r="314" spans="9:11" ht="12.75">
      <c r="I314" s="656"/>
      <c r="J314" s="656"/>
      <c r="K314" s="656"/>
    </row>
    <row r="315" spans="9:11" ht="12.75">
      <c r="I315" s="656"/>
      <c r="J315" s="656"/>
      <c r="K315" s="656"/>
    </row>
    <row r="316" spans="9:11" ht="12.75">
      <c r="I316" s="656"/>
      <c r="J316" s="656"/>
      <c r="K316" s="656"/>
    </row>
    <row r="317" spans="9:11" ht="12.75">
      <c r="I317" s="656"/>
      <c r="J317" s="656"/>
      <c r="K317" s="656"/>
    </row>
    <row r="318" spans="9:11" ht="12.75">
      <c r="I318" s="656"/>
      <c r="J318" s="656"/>
      <c r="K318" s="656"/>
    </row>
    <row r="319" spans="9:11" ht="12.75">
      <c r="I319" s="656"/>
      <c r="J319" s="656"/>
      <c r="K319" s="656"/>
    </row>
    <row r="320" spans="9:11" ht="12.75">
      <c r="I320" s="656"/>
      <c r="J320" s="656"/>
      <c r="K320" s="656"/>
    </row>
    <row r="321" spans="9:11" ht="12.75">
      <c r="I321" s="656"/>
      <c r="J321" s="656"/>
      <c r="K321" s="656"/>
    </row>
    <row r="322" spans="9:11" ht="12.75">
      <c r="I322" s="656"/>
      <c r="J322" s="656"/>
      <c r="K322" s="656"/>
    </row>
    <row r="323" spans="9:11" ht="12.75">
      <c r="I323" s="656"/>
      <c r="J323" s="656"/>
      <c r="K323" s="656"/>
    </row>
    <row r="324" spans="9:11" ht="12.75">
      <c r="I324" s="656"/>
      <c r="J324" s="656"/>
      <c r="K324" s="656"/>
    </row>
    <row r="325" spans="9:11" ht="12.75">
      <c r="I325" s="656"/>
      <c r="J325" s="656"/>
      <c r="K325" s="656"/>
    </row>
    <row r="326" spans="9:11" ht="12.75">
      <c r="I326" s="656"/>
      <c r="J326" s="656"/>
      <c r="K326" s="656"/>
    </row>
    <row r="327" spans="9:11" ht="12.75">
      <c r="I327" s="656"/>
      <c r="J327" s="656"/>
      <c r="K327" s="656"/>
    </row>
    <row r="328" spans="9:11" ht="12.75">
      <c r="I328" s="656"/>
      <c r="J328" s="656"/>
      <c r="K328" s="656"/>
    </row>
    <row r="329" spans="9:11" ht="12.75">
      <c r="I329" s="656"/>
      <c r="J329" s="656"/>
      <c r="K329" s="656"/>
    </row>
    <row r="330" spans="9:11" ht="12.75">
      <c r="I330" s="656"/>
      <c r="J330" s="656"/>
      <c r="K330" s="656"/>
    </row>
    <row r="331" spans="9:11" ht="12.75">
      <c r="I331" s="656"/>
      <c r="J331" s="656"/>
      <c r="K331" s="656"/>
    </row>
    <row r="332" spans="9:11" ht="12.75">
      <c r="I332" s="656"/>
      <c r="J332" s="656"/>
      <c r="K332" s="656"/>
    </row>
    <row r="333" spans="9:11" ht="12.75">
      <c r="I333" s="656"/>
      <c r="J333" s="656"/>
      <c r="K333" s="656"/>
    </row>
    <row r="334" spans="9:11" ht="12.75">
      <c r="I334" s="656"/>
      <c r="J334" s="656"/>
      <c r="K334" s="656"/>
    </row>
    <row r="335" spans="9:11" ht="12.75">
      <c r="I335" s="656"/>
      <c r="J335" s="656"/>
      <c r="K335" s="656"/>
    </row>
    <row r="336" spans="9:11" ht="12.75">
      <c r="I336" s="656"/>
      <c r="J336" s="656"/>
      <c r="K336" s="656"/>
    </row>
    <row r="337" spans="9:11" ht="12.75">
      <c r="I337" s="656"/>
      <c r="J337" s="656"/>
      <c r="K337" s="656"/>
    </row>
    <row r="338" spans="9:11" ht="12.75">
      <c r="I338" s="656"/>
      <c r="J338" s="656"/>
      <c r="K338" s="656"/>
    </row>
    <row r="339" spans="9:11" ht="12.75">
      <c r="I339" s="656"/>
      <c r="J339" s="656"/>
      <c r="K339" s="656"/>
    </row>
    <row r="340" spans="9:11" ht="12.75">
      <c r="I340" s="656"/>
      <c r="J340" s="656"/>
      <c r="K340" s="656"/>
    </row>
    <row r="341" spans="9:11" ht="12.75">
      <c r="I341" s="656"/>
      <c r="J341" s="656"/>
      <c r="K341" s="656"/>
    </row>
    <row r="342" spans="9:11" ht="12.75">
      <c r="I342" s="656"/>
      <c r="J342" s="656"/>
      <c r="K342" s="656"/>
    </row>
    <row r="343" spans="9:11" ht="12.75">
      <c r="I343" s="656"/>
      <c r="J343" s="656"/>
      <c r="K343" s="656"/>
    </row>
    <row r="344" spans="9:11" ht="12.75">
      <c r="I344" s="656"/>
      <c r="J344" s="656"/>
      <c r="K344" s="656"/>
    </row>
    <row r="345" spans="9:11" ht="12.75">
      <c r="I345" s="656"/>
      <c r="J345" s="656"/>
      <c r="K345" s="656"/>
    </row>
    <row r="346" spans="9:11" ht="12.75">
      <c r="I346" s="656"/>
      <c r="J346" s="656"/>
      <c r="K346" s="656"/>
    </row>
    <row r="347" spans="9:11" ht="12.75">
      <c r="I347" s="656"/>
      <c r="J347" s="656"/>
      <c r="K347" s="656"/>
    </row>
    <row r="348" spans="9:11" ht="12.75">
      <c r="I348" s="656"/>
      <c r="J348" s="656"/>
      <c r="K348" s="656"/>
    </row>
    <row r="349" spans="9:11" ht="12.75">
      <c r="I349" s="656"/>
      <c r="J349" s="656"/>
      <c r="K349" s="656"/>
    </row>
    <row r="350" spans="9:11" ht="12.75">
      <c r="I350" s="656"/>
      <c r="J350" s="656"/>
      <c r="K350" s="656"/>
    </row>
    <row r="351" spans="9:11" ht="12.75">
      <c r="I351" s="656"/>
      <c r="J351" s="656"/>
      <c r="K351" s="656"/>
    </row>
    <row r="352" spans="9:11" ht="12.75">
      <c r="I352" s="656"/>
      <c r="J352" s="656"/>
      <c r="K352" s="656"/>
    </row>
    <row r="353" spans="9:11" ht="12.75">
      <c r="I353" s="656"/>
      <c r="J353" s="656"/>
      <c r="K353" s="656"/>
    </row>
    <row r="354" spans="9:11" ht="12.75">
      <c r="I354" s="656"/>
      <c r="J354" s="656"/>
      <c r="K354" s="656"/>
    </row>
    <row r="355" spans="9:11" ht="12.75">
      <c r="I355" s="656"/>
      <c r="J355" s="656"/>
      <c r="K355" s="656"/>
    </row>
    <row r="356" spans="9:11" ht="12.75">
      <c r="I356" s="656"/>
      <c r="J356" s="656"/>
      <c r="K356" s="656"/>
    </row>
    <row r="357" spans="9:11" ht="12.75">
      <c r="I357" s="656"/>
      <c r="J357" s="656"/>
      <c r="K357" s="656"/>
    </row>
    <row r="358" spans="9:11" ht="12.75">
      <c r="I358" s="656"/>
      <c r="J358" s="656"/>
      <c r="K358" s="656"/>
    </row>
    <row r="359" spans="9:11" ht="12.75">
      <c r="I359" s="656"/>
      <c r="J359" s="656"/>
      <c r="K359" s="656"/>
    </row>
    <row r="360" spans="9:11" ht="12.75">
      <c r="I360" s="656"/>
      <c r="J360" s="656"/>
      <c r="K360" s="656"/>
    </row>
    <row r="361" spans="9:11" ht="12.75">
      <c r="I361" s="656"/>
      <c r="J361" s="656"/>
      <c r="K361" s="656"/>
    </row>
    <row r="362" spans="9:11" ht="12.75">
      <c r="I362" s="656"/>
      <c r="J362" s="656"/>
      <c r="K362" s="656"/>
    </row>
    <row r="363" spans="9:11" ht="12.75">
      <c r="I363" s="656"/>
      <c r="J363" s="656"/>
      <c r="K363" s="656"/>
    </row>
    <row r="364" spans="9:11" ht="12.75">
      <c r="I364" s="656"/>
      <c r="J364" s="656"/>
      <c r="K364" s="656"/>
    </row>
    <row r="365" spans="9:11" ht="12.75">
      <c r="I365" s="656"/>
      <c r="J365" s="656"/>
      <c r="K365" s="656"/>
    </row>
    <row r="366" spans="9:11" ht="12.75">
      <c r="I366" s="656"/>
      <c r="J366" s="656"/>
      <c r="K366" s="656"/>
    </row>
    <row r="367" spans="9:11" ht="12.75">
      <c r="I367" s="656"/>
      <c r="J367" s="656"/>
      <c r="K367" s="656"/>
    </row>
    <row r="368" spans="9:11" ht="12.75">
      <c r="I368" s="656"/>
      <c r="J368" s="656"/>
      <c r="K368" s="656"/>
    </row>
    <row r="369" spans="9:11" ht="12.75">
      <c r="I369" s="656"/>
      <c r="J369" s="656"/>
      <c r="K369" s="656"/>
    </row>
    <row r="370" spans="9:11" ht="12.75">
      <c r="I370" s="656"/>
      <c r="J370" s="656"/>
      <c r="K370" s="656"/>
    </row>
    <row r="371" spans="9:11" ht="12.75">
      <c r="I371" s="656"/>
      <c r="J371" s="656"/>
      <c r="K371" s="656"/>
    </row>
    <row r="372" spans="9:11" ht="12.75">
      <c r="I372" s="656"/>
      <c r="J372" s="656"/>
      <c r="K372" s="656"/>
    </row>
    <row r="373" spans="9:11" ht="12.75">
      <c r="I373" s="656"/>
      <c r="J373" s="656"/>
      <c r="K373" s="656"/>
    </row>
    <row r="374" spans="9:11" ht="12.75">
      <c r="I374" s="656"/>
      <c r="J374" s="656"/>
      <c r="K374" s="656"/>
    </row>
    <row r="375" spans="9:11" ht="12.75">
      <c r="I375" s="656"/>
      <c r="J375" s="656"/>
      <c r="K375" s="656"/>
    </row>
    <row r="376" spans="9:11" ht="12.75">
      <c r="I376" s="656"/>
      <c r="J376" s="656"/>
      <c r="K376" s="656"/>
    </row>
    <row r="377" spans="9:11" ht="12.75">
      <c r="I377" s="656"/>
      <c r="J377" s="656"/>
      <c r="K377" s="656"/>
    </row>
    <row r="378" spans="9:11" ht="12.75">
      <c r="I378" s="656"/>
      <c r="J378" s="656"/>
      <c r="K378" s="656"/>
    </row>
    <row r="379" spans="9:11" ht="12.75">
      <c r="I379" s="656"/>
      <c r="J379" s="656"/>
      <c r="K379" s="656"/>
    </row>
    <row r="380" spans="9:11" ht="12.75">
      <c r="I380" s="656"/>
      <c r="J380" s="656"/>
      <c r="K380" s="656"/>
    </row>
    <row r="381" spans="9:11" ht="12.75">
      <c r="I381" s="656"/>
      <c r="J381" s="656"/>
      <c r="K381" s="656"/>
    </row>
    <row r="382" spans="9:11" ht="12.75">
      <c r="I382" s="656"/>
      <c r="J382" s="656"/>
      <c r="K382" s="656"/>
    </row>
    <row r="383" spans="9:11" ht="12.75">
      <c r="I383" s="656"/>
      <c r="J383" s="656"/>
      <c r="K383" s="656"/>
    </row>
    <row r="384" spans="9:11" ht="12.75">
      <c r="I384" s="656"/>
      <c r="J384" s="656"/>
      <c r="K384" s="656"/>
    </row>
    <row r="385" spans="9:11" ht="12.75">
      <c r="I385" s="656"/>
      <c r="J385" s="656"/>
      <c r="K385" s="656"/>
    </row>
    <row r="386" spans="9:11" ht="12.75">
      <c r="I386" s="656"/>
      <c r="J386" s="656"/>
      <c r="K386" s="656"/>
    </row>
    <row r="387" spans="9:11" ht="12.75">
      <c r="I387" s="656"/>
      <c r="J387" s="656"/>
      <c r="K387" s="656"/>
    </row>
    <row r="388" spans="9:11" ht="12.75">
      <c r="I388" s="656"/>
      <c r="J388" s="656"/>
      <c r="K388" s="656"/>
    </row>
    <row r="389" spans="9:11" ht="12.75">
      <c r="I389" s="656"/>
      <c r="J389" s="656"/>
      <c r="K389" s="656"/>
    </row>
    <row r="390" spans="9:11" ht="12.75">
      <c r="I390" s="656"/>
      <c r="J390" s="656"/>
      <c r="K390" s="656"/>
    </row>
    <row r="391" spans="9:11" ht="12.75">
      <c r="I391" s="656"/>
      <c r="J391" s="656"/>
      <c r="K391" s="656"/>
    </row>
    <row r="392" spans="9:11" ht="12.75">
      <c r="I392" s="656"/>
      <c r="J392" s="656"/>
      <c r="K392" s="656"/>
    </row>
    <row r="393" spans="9:11" ht="12.75">
      <c r="I393" s="656"/>
      <c r="J393" s="656"/>
      <c r="K393" s="656"/>
    </row>
    <row r="394" spans="9:11" ht="12.75">
      <c r="I394" s="656"/>
      <c r="J394" s="656"/>
      <c r="K394" s="656"/>
    </row>
    <row r="395" spans="9:11" ht="12.75">
      <c r="I395" s="656"/>
      <c r="J395" s="656"/>
      <c r="K395" s="656"/>
    </row>
    <row r="396" spans="9:11" ht="12.75">
      <c r="I396" s="656"/>
      <c r="J396" s="656"/>
      <c r="K396" s="656"/>
    </row>
    <row r="397" spans="9:11" ht="12.75">
      <c r="I397" s="656"/>
      <c r="J397" s="656"/>
      <c r="K397" s="656"/>
    </row>
    <row r="398" spans="9:11" ht="12.75">
      <c r="I398" s="656"/>
      <c r="J398" s="656"/>
      <c r="K398" s="656"/>
    </row>
    <row r="399" spans="9:11" ht="12.75">
      <c r="I399" s="656"/>
      <c r="J399" s="656"/>
      <c r="K399" s="656"/>
    </row>
    <row r="400" spans="9:11" ht="12.75">
      <c r="I400" s="656"/>
      <c r="J400" s="656"/>
      <c r="K400" s="656"/>
    </row>
    <row r="401" spans="9:11" ht="12.75">
      <c r="I401" s="656"/>
      <c r="J401" s="656"/>
      <c r="K401" s="656"/>
    </row>
    <row r="402" spans="9:11" ht="12.75">
      <c r="I402" s="656"/>
      <c r="J402" s="656"/>
      <c r="K402" s="656"/>
    </row>
    <row r="403" spans="9:11" ht="12.75">
      <c r="I403" s="656"/>
      <c r="J403" s="656"/>
      <c r="K403" s="656"/>
    </row>
    <row r="404" spans="9:11" ht="12.75">
      <c r="I404" s="656"/>
      <c r="J404" s="656"/>
      <c r="K404" s="656"/>
    </row>
    <row r="405" spans="9:11" ht="12.75">
      <c r="I405" s="656"/>
      <c r="J405" s="656"/>
      <c r="K405" s="656"/>
    </row>
    <row r="406" spans="9:11" ht="12.75">
      <c r="I406" s="656"/>
      <c r="J406" s="656"/>
      <c r="K406" s="656"/>
    </row>
    <row r="407" spans="9:11" ht="12.75">
      <c r="I407" s="656"/>
      <c r="J407" s="656"/>
      <c r="K407" s="656"/>
    </row>
    <row r="408" spans="9:11" ht="12.75">
      <c r="I408" s="656"/>
      <c r="J408" s="656"/>
      <c r="K408" s="656"/>
    </row>
    <row r="409" spans="9:11" ht="12.75">
      <c r="I409" s="656"/>
      <c r="J409" s="656"/>
      <c r="K409" s="656"/>
    </row>
    <row r="410" spans="9:11" ht="12.75">
      <c r="I410" s="656"/>
      <c r="J410" s="656"/>
      <c r="K410" s="656"/>
    </row>
    <row r="411" spans="9:11" ht="12.75">
      <c r="I411" s="656"/>
      <c r="J411" s="656"/>
      <c r="K411" s="656"/>
    </row>
    <row r="412" spans="9:11" ht="12.75">
      <c r="I412" s="656"/>
      <c r="J412" s="656"/>
      <c r="K412" s="656"/>
    </row>
    <row r="413" spans="9:11" ht="12.75">
      <c r="I413" s="656"/>
      <c r="J413" s="656"/>
      <c r="K413" s="656"/>
    </row>
    <row r="414" spans="9:11" ht="12.75">
      <c r="I414" s="656"/>
      <c r="J414" s="656"/>
      <c r="K414" s="656"/>
    </row>
    <row r="415" spans="9:11" ht="12.75">
      <c r="I415" s="656"/>
      <c r="J415" s="656"/>
      <c r="K415" s="656"/>
    </row>
    <row r="416" spans="9:11" ht="12.75">
      <c r="I416" s="656"/>
      <c r="J416" s="656"/>
      <c r="K416" s="656"/>
    </row>
    <row r="417" spans="9:11" ht="12.75">
      <c r="I417" s="656"/>
      <c r="J417" s="656"/>
      <c r="K417" s="656"/>
    </row>
    <row r="418" spans="9:11" ht="12.75">
      <c r="I418" s="656"/>
      <c r="J418" s="656"/>
      <c r="K418" s="656"/>
    </row>
    <row r="419" spans="9:11" ht="12.75">
      <c r="I419" s="656"/>
      <c r="J419" s="656"/>
      <c r="K419" s="656"/>
    </row>
    <row r="420" spans="9:11" ht="12.75">
      <c r="I420" s="656"/>
      <c r="J420" s="656"/>
      <c r="K420" s="656"/>
    </row>
    <row r="421" spans="9:11" ht="12.75">
      <c r="I421" s="656"/>
      <c r="J421" s="656"/>
      <c r="K421" s="656"/>
    </row>
    <row r="422" spans="9:11" ht="12.75">
      <c r="I422" s="656"/>
      <c r="J422" s="656"/>
      <c r="K422" s="656"/>
    </row>
    <row r="423" spans="9:11" ht="12.75">
      <c r="I423" s="656"/>
      <c r="J423" s="656"/>
      <c r="K423" s="656"/>
    </row>
    <row r="424" spans="9:11" ht="12.75">
      <c r="I424" s="656"/>
      <c r="J424" s="656"/>
      <c r="K424" s="656"/>
    </row>
    <row r="425" spans="9:11" ht="12.75">
      <c r="I425" s="656"/>
      <c r="J425" s="656"/>
      <c r="K425" s="656"/>
    </row>
    <row r="426" spans="9:11" ht="12.75">
      <c r="I426" s="656"/>
      <c r="J426" s="656"/>
      <c r="K426" s="656"/>
    </row>
    <row r="427" spans="9:11" ht="12.75">
      <c r="I427" s="656"/>
      <c r="J427" s="656"/>
      <c r="K427" s="656"/>
    </row>
    <row r="428" spans="9:11" ht="12.75">
      <c r="I428" s="656"/>
      <c r="J428" s="656"/>
      <c r="K428" s="656"/>
    </row>
    <row r="429" spans="9:11" ht="12.75">
      <c r="I429" s="656"/>
      <c r="J429" s="656"/>
      <c r="K429" s="656"/>
    </row>
    <row r="430" spans="9:11" ht="12.75">
      <c r="I430" s="656"/>
      <c r="J430" s="656"/>
      <c r="K430" s="656"/>
    </row>
    <row r="431" spans="9:11" ht="12.75">
      <c r="I431" s="656"/>
      <c r="J431" s="656"/>
      <c r="K431" s="656"/>
    </row>
    <row r="432" spans="9:11" ht="12.75">
      <c r="I432" s="656"/>
      <c r="J432" s="656"/>
      <c r="K432" s="656"/>
    </row>
    <row r="433" spans="9:11" ht="12.75">
      <c r="I433" s="656"/>
      <c r="J433" s="656"/>
      <c r="K433" s="656"/>
    </row>
    <row r="434" spans="9:11" ht="12.75">
      <c r="I434" s="656"/>
      <c r="J434" s="656"/>
      <c r="K434" s="656"/>
    </row>
    <row r="435" spans="9:11" ht="12.75">
      <c r="I435" s="656"/>
      <c r="J435" s="656"/>
      <c r="K435" s="656"/>
    </row>
    <row r="436" spans="9:11" ht="12.75">
      <c r="I436" s="656"/>
      <c r="J436" s="656"/>
      <c r="K436" s="656"/>
    </row>
    <row r="437" spans="9:11" ht="12.75">
      <c r="I437" s="656"/>
      <c r="J437" s="656"/>
      <c r="K437" s="656"/>
    </row>
    <row r="438" spans="9:11" ht="12.75">
      <c r="I438" s="656"/>
      <c r="J438" s="656"/>
      <c r="K438" s="656"/>
    </row>
    <row r="439" spans="9:11" ht="12.75">
      <c r="I439" s="656"/>
      <c r="J439" s="656"/>
      <c r="K439" s="656"/>
    </row>
    <row r="440" spans="9:11" ht="12.75">
      <c r="I440" s="656"/>
      <c r="J440" s="656"/>
      <c r="K440" s="656"/>
    </row>
    <row r="441" spans="9:11" ht="12.75">
      <c r="I441" s="656"/>
      <c r="J441" s="656"/>
      <c r="K441" s="656"/>
    </row>
    <row r="442" spans="9:11" ht="12.75">
      <c r="I442" s="656"/>
      <c r="J442" s="656"/>
      <c r="K442" s="656"/>
    </row>
    <row r="443" spans="9:11" ht="12.75">
      <c r="I443" s="656"/>
      <c r="J443" s="656"/>
      <c r="K443" s="656"/>
    </row>
    <row r="444" spans="9:11" ht="12.75">
      <c r="I444" s="656"/>
      <c r="J444" s="656"/>
      <c r="K444" s="656"/>
    </row>
    <row r="445" spans="9:11" ht="12.75">
      <c r="I445" s="656"/>
      <c r="J445" s="656"/>
      <c r="K445" s="656"/>
    </row>
    <row r="446" spans="9:11" ht="12.75">
      <c r="I446" s="656"/>
      <c r="J446" s="656"/>
      <c r="K446" s="656"/>
    </row>
    <row r="447" spans="9:11" ht="12.75">
      <c r="I447" s="656"/>
      <c r="J447" s="656"/>
      <c r="K447" s="656"/>
    </row>
    <row r="448" spans="9:11" ht="12.75">
      <c r="I448" s="656"/>
      <c r="J448" s="656"/>
      <c r="K448" s="656"/>
    </row>
    <row r="449" spans="9:11" ht="12.75">
      <c r="I449" s="656"/>
      <c r="J449" s="656"/>
      <c r="K449" s="656"/>
    </row>
    <row r="450" spans="9:11" ht="12.75">
      <c r="I450" s="656"/>
      <c r="J450" s="656"/>
      <c r="K450" s="656"/>
    </row>
    <row r="451" spans="9:11" ht="12.75">
      <c r="I451" s="656"/>
      <c r="J451" s="656"/>
      <c r="K451" s="656"/>
    </row>
    <row r="452" spans="9:11" ht="12.75">
      <c r="I452" s="656"/>
      <c r="J452" s="656"/>
      <c r="K452" s="656"/>
    </row>
    <row r="453" spans="9:11" ht="12.75">
      <c r="I453" s="656"/>
      <c r="J453" s="656"/>
      <c r="K453" s="656"/>
    </row>
    <row r="454" spans="9:11" ht="12.75">
      <c r="I454" s="656"/>
      <c r="J454" s="656"/>
      <c r="K454" s="656"/>
    </row>
    <row r="455" spans="9:11" ht="12.75">
      <c r="I455" s="656"/>
      <c r="J455" s="656"/>
      <c r="K455" s="656"/>
    </row>
    <row r="456" spans="9:11" ht="12.75">
      <c r="I456" s="656"/>
      <c r="J456" s="656"/>
      <c r="K456" s="656"/>
    </row>
    <row r="457" spans="9:11" ht="12.75">
      <c r="I457" s="656"/>
      <c r="J457" s="656"/>
      <c r="K457" s="656"/>
    </row>
    <row r="458" spans="9:11" ht="12.75">
      <c r="I458" s="656"/>
      <c r="J458" s="656"/>
      <c r="K458" s="656"/>
    </row>
    <row r="459" spans="9:11" ht="12.75">
      <c r="I459" s="656"/>
      <c r="J459" s="656"/>
      <c r="K459" s="656"/>
    </row>
    <row r="460" spans="9:11" ht="12.75">
      <c r="I460" s="656"/>
      <c r="J460" s="656"/>
      <c r="K460" s="656"/>
    </row>
    <row r="461" spans="9:11" ht="12.75">
      <c r="I461" s="656"/>
      <c r="J461" s="656"/>
      <c r="K461" s="656"/>
    </row>
    <row r="462" spans="9:11" ht="12.75">
      <c r="I462" s="656"/>
      <c r="J462" s="656"/>
      <c r="K462" s="656"/>
    </row>
    <row r="463" spans="9:11" ht="12.75">
      <c r="I463" s="656"/>
      <c r="J463" s="656"/>
      <c r="K463" s="656"/>
    </row>
    <row r="464" spans="9:11" ht="12.75">
      <c r="I464" s="656"/>
      <c r="J464" s="656"/>
      <c r="K464" s="656"/>
    </row>
    <row r="465" spans="9:11" ht="12.75">
      <c r="I465" s="656"/>
      <c r="J465" s="656"/>
      <c r="K465" s="656"/>
    </row>
    <row r="466" spans="9:11" ht="12.75">
      <c r="I466" s="656"/>
      <c r="J466" s="656"/>
      <c r="K466" s="656"/>
    </row>
    <row r="467" spans="9:11" ht="12.75">
      <c r="I467" s="656"/>
      <c r="J467" s="656"/>
      <c r="K467" s="656"/>
    </row>
    <row r="468" spans="9:11" ht="12.75">
      <c r="I468" s="656"/>
      <c r="J468" s="656"/>
      <c r="K468" s="656"/>
    </row>
    <row r="469" spans="9:11" ht="12.75">
      <c r="I469" s="656"/>
      <c r="J469" s="656"/>
      <c r="K469" s="656"/>
    </row>
    <row r="470" spans="9:11" ht="12.75">
      <c r="I470" s="656"/>
      <c r="J470" s="656"/>
      <c r="K470" s="656"/>
    </row>
    <row r="471" spans="9:11" ht="12.75">
      <c r="I471" s="656"/>
      <c r="J471" s="656"/>
      <c r="K471" s="656"/>
    </row>
    <row r="472" spans="9:11" ht="12.75">
      <c r="I472" s="656"/>
      <c r="J472" s="656"/>
      <c r="K472" s="656"/>
    </row>
    <row r="473" spans="9:11" ht="12.75">
      <c r="I473" s="656"/>
      <c r="J473" s="656"/>
      <c r="K473" s="656"/>
    </row>
    <row r="474" spans="9:11" ht="12.75">
      <c r="I474" s="656"/>
      <c r="J474" s="656"/>
      <c r="K474" s="656"/>
    </row>
    <row r="475" spans="9:11" ht="12.75">
      <c r="I475" s="656"/>
      <c r="J475" s="656"/>
      <c r="K475" s="656"/>
    </row>
    <row r="476" spans="9:11" ht="12.75">
      <c r="I476" s="656"/>
      <c r="J476" s="656"/>
      <c r="K476" s="656"/>
    </row>
    <row r="477" spans="9:11" ht="12.75">
      <c r="I477" s="656"/>
      <c r="J477" s="656"/>
      <c r="K477" s="656"/>
    </row>
    <row r="478" spans="9:11" ht="12.75">
      <c r="I478" s="656"/>
      <c r="J478" s="656"/>
      <c r="K478" s="656"/>
    </row>
    <row r="479" spans="9:11" ht="12.75">
      <c r="I479" s="656"/>
      <c r="J479" s="656"/>
      <c r="K479" s="656"/>
    </row>
    <row r="480" spans="9:11" ht="12.75">
      <c r="I480" s="656"/>
      <c r="J480" s="656"/>
      <c r="K480" s="656"/>
    </row>
    <row r="481" spans="9:11" ht="12.75">
      <c r="I481" s="656"/>
      <c r="J481" s="656"/>
      <c r="K481" s="656"/>
    </row>
    <row r="482" spans="9:11" ht="12.75">
      <c r="I482" s="656"/>
      <c r="J482" s="656"/>
      <c r="K482" s="656"/>
    </row>
    <row r="483" spans="9:11" ht="12.75">
      <c r="I483" s="656"/>
      <c r="J483" s="656"/>
      <c r="K483" s="656"/>
    </row>
    <row r="484" spans="9:11" ht="12.75">
      <c r="I484" s="656"/>
      <c r="J484" s="656"/>
      <c r="K484" s="656"/>
    </row>
    <row r="485" spans="9:11" ht="12.75">
      <c r="I485" s="656"/>
      <c r="J485" s="656"/>
      <c r="K485" s="656"/>
    </row>
    <row r="486" spans="9:11" ht="12.75">
      <c r="I486" s="656"/>
      <c r="J486" s="656"/>
      <c r="K486" s="656"/>
    </row>
    <row r="487" spans="9:11" ht="12.75">
      <c r="I487" s="656"/>
      <c r="J487" s="656"/>
      <c r="K487" s="656"/>
    </row>
    <row r="488" spans="9:11" ht="12.75">
      <c r="I488" s="656"/>
      <c r="J488" s="656"/>
      <c r="K488" s="656"/>
    </row>
    <row r="489" spans="9:11" ht="12.75">
      <c r="I489" s="656"/>
      <c r="J489" s="656"/>
      <c r="K489" s="656"/>
    </row>
    <row r="490" spans="9:11" ht="12.75">
      <c r="I490" s="656"/>
      <c r="J490" s="656"/>
      <c r="K490" s="656"/>
    </row>
    <row r="491" spans="9:11" ht="12.75">
      <c r="I491" s="656"/>
      <c r="J491" s="656"/>
      <c r="K491" s="656"/>
    </row>
    <row r="492" spans="9:11" ht="12.75">
      <c r="I492" s="656"/>
      <c r="J492" s="656"/>
      <c r="K492" s="656"/>
    </row>
    <row r="493" spans="9:11" ht="12.75">
      <c r="I493" s="656"/>
      <c r="J493" s="656"/>
      <c r="K493" s="656"/>
    </row>
    <row r="494" spans="9:11" ht="12.75">
      <c r="I494" s="656"/>
      <c r="J494" s="656"/>
      <c r="K494" s="656"/>
    </row>
    <row r="495" spans="9:11" ht="12.75">
      <c r="I495" s="656"/>
      <c r="J495" s="656"/>
      <c r="K495" s="656"/>
    </row>
    <row r="496" spans="9:11" ht="12.75">
      <c r="I496" s="656"/>
      <c r="J496" s="656"/>
      <c r="K496" s="656"/>
    </row>
    <row r="497" spans="9:11" ht="12.75">
      <c r="I497" s="656"/>
      <c r="J497" s="656"/>
      <c r="K497" s="656"/>
    </row>
    <row r="498" spans="9:11" ht="12.75">
      <c r="I498" s="656"/>
      <c r="J498" s="656"/>
      <c r="K498" s="656"/>
    </row>
    <row r="499" spans="9:11" ht="12.75">
      <c r="I499" s="656"/>
      <c r="J499" s="656"/>
      <c r="K499" s="656"/>
    </row>
    <row r="500" spans="9:11" ht="12.75">
      <c r="I500" s="656"/>
      <c r="J500" s="656"/>
      <c r="K500" s="656"/>
    </row>
    <row r="501" spans="9:11" ht="12.75">
      <c r="I501" s="656"/>
      <c r="J501" s="656"/>
      <c r="K501" s="656"/>
    </row>
    <row r="502" spans="9:11" ht="12.75">
      <c r="I502" s="656"/>
      <c r="J502" s="656"/>
      <c r="K502" s="656"/>
    </row>
    <row r="503" spans="9:11" ht="12.75">
      <c r="I503" s="656"/>
      <c r="J503" s="656"/>
      <c r="K503" s="656"/>
    </row>
    <row r="504" spans="9:11" ht="12.75">
      <c r="I504" s="656"/>
      <c r="J504" s="656"/>
      <c r="K504" s="656"/>
    </row>
    <row r="505" spans="9:11" ht="12.75">
      <c r="I505" s="656"/>
      <c r="J505" s="656"/>
      <c r="K505" s="656"/>
    </row>
    <row r="506" spans="9:11" ht="12.75">
      <c r="I506" s="656"/>
      <c r="J506" s="656"/>
      <c r="K506" s="656"/>
    </row>
    <row r="507" spans="9:11" ht="12.75">
      <c r="I507" s="656"/>
      <c r="J507" s="656"/>
      <c r="K507" s="656"/>
    </row>
    <row r="508" spans="9:11" ht="12.75">
      <c r="I508" s="656"/>
      <c r="J508" s="656"/>
      <c r="K508" s="656"/>
    </row>
    <row r="509" spans="9:11" ht="12.75">
      <c r="I509" s="656"/>
      <c r="J509" s="656"/>
      <c r="K509" s="656"/>
    </row>
    <row r="510" spans="9:11" ht="12.75">
      <c r="I510" s="656"/>
      <c r="J510" s="656"/>
      <c r="K510" s="656"/>
    </row>
    <row r="511" spans="9:11" ht="12.75">
      <c r="I511" s="656"/>
      <c r="J511" s="656"/>
      <c r="K511" s="656"/>
    </row>
    <row r="512" spans="9:11" ht="12.75">
      <c r="I512" s="656"/>
      <c r="J512" s="656"/>
      <c r="K512" s="656"/>
    </row>
    <row r="513" spans="9:11" ht="12.75">
      <c r="I513" s="656"/>
      <c r="J513" s="656"/>
      <c r="K513" s="656"/>
    </row>
    <row r="514" spans="9:11" ht="12.75">
      <c r="I514" s="656"/>
      <c r="J514" s="656"/>
      <c r="K514" s="656"/>
    </row>
    <row r="515" spans="9:11" ht="12.75">
      <c r="I515" s="656"/>
      <c r="J515" s="656"/>
      <c r="K515" s="656"/>
    </row>
    <row r="516" spans="9:11" ht="12.75">
      <c r="I516" s="656"/>
      <c r="J516" s="656"/>
      <c r="K516" s="656"/>
    </row>
    <row r="517" spans="9:11" ht="12.75">
      <c r="I517" s="656"/>
      <c r="J517" s="656"/>
      <c r="K517" s="656"/>
    </row>
    <row r="518" spans="9:11" ht="12.75">
      <c r="I518" s="656"/>
      <c r="J518" s="656"/>
      <c r="K518" s="656"/>
    </row>
    <row r="519" spans="9:11" ht="12.75">
      <c r="I519" s="656"/>
      <c r="J519" s="656"/>
      <c r="K519" s="656"/>
    </row>
    <row r="520" spans="9:11" ht="12.75">
      <c r="I520" s="656"/>
      <c r="J520" s="656"/>
      <c r="K520" s="656"/>
    </row>
    <row r="521" spans="9:11" ht="12.75">
      <c r="I521" s="656"/>
      <c r="J521" s="656"/>
      <c r="K521" s="656"/>
    </row>
    <row r="522" spans="9:11" ht="12.75">
      <c r="I522" s="656"/>
      <c r="J522" s="656"/>
      <c r="K522" s="656"/>
    </row>
    <row r="523" spans="9:11" ht="12.75">
      <c r="I523" s="656"/>
      <c r="J523" s="656"/>
      <c r="K523" s="656"/>
    </row>
    <row r="524" spans="9:11" ht="12.75">
      <c r="I524" s="656"/>
      <c r="J524" s="656"/>
      <c r="K524" s="656"/>
    </row>
    <row r="525" spans="9:11" ht="12.75">
      <c r="I525" s="656"/>
      <c r="J525" s="656"/>
      <c r="K525" s="656"/>
    </row>
    <row r="526" spans="9:11" ht="12.75">
      <c r="I526" s="656"/>
      <c r="J526" s="656"/>
      <c r="K526" s="656"/>
    </row>
    <row r="527" spans="9:11" ht="12.75">
      <c r="I527" s="656"/>
      <c r="J527" s="656"/>
      <c r="K527" s="656"/>
    </row>
    <row r="528" spans="9:11" ht="12.75">
      <c r="I528" s="656"/>
      <c r="J528" s="656"/>
      <c r="K528" s="656"/>
    </row>
    <row r="529" spans="9:11" ht="12.75">
      <c r="I529" s="656"/>
      <c r="J529" s="656"/>
      <c r="K529" s="656"/>
    </row>
    <row r="530" spans="9:11" ht="12.75">
      <c r="I530" s="656"/>
      <c r="J530" s="656"/>
      <c r="K530" s="656"/>
    </row>
    <row r="531" spans="9:11" ht="12.75">
      <c r="I531" s="656"/>
      <c r="J531" s="656"/>
      <c r="K531" s="656"/>
    </row>
    <row r="532" spans="9:11" ht="12.75">
      <c r="I532" s="656"/>
      <c r="J532" s="656"/>
      <c r="K532" s="656"/>
    </row>
    <row r="533" spans="9:11" ht="12.75">
      <c r="I533" s="656"/>
      <c r="J533" s="656"/>
      <c r="K533" s="656"/>
    </row>
    <row r="534" spans="9:11" ht="12.75">
      <c r="I534" s="656"/>
      <c r="J534" s="656"/>
      <c r="K534" s="656"/>
    </row>
    <row r="535" spans="9:11" ht="12.75">
      <c r="I535" s="656"/>
      <c r="J535" s="656"/>
      <c r="K535" s="656"/>
    </row>
    <row r="536" spans="9:11" ht="12.75">
      <c r="I536" s="656"/>
      <c r="J536" s="656"/>
      <c r="K536" s="656"/>
    </row>
    <row r="537" spans="9:11" ht="12.75">
      <c r="I537" s="656"/>
      <c r="J537" s="656"/>
      <c r="K537" s="656"/>
    </row>
    <row r="538" spans="9:11" ht="12.75">
      <c r="I538" s="656"/>
      <c r="J538" s="656"/>
      <c r="K538" s="656"/>
    </row>
    <row r="539" spans="9:11" ht="12.75">
      <c r="I539" s="656"/>
      <c r="J539" s="656"/>
      <c r="K539" s="656"/>
    </row>
    <row r="540" spans="9:11" ht="12.75">
      <c r="I540" s="656"/>
      <c r="J540" s="656"/>
      <c r="K540" s="656"/>
    </row>
    <row r="541" spans="9:11" ht="12.75">
      <c r="I541" s="656"/>
      <c r="J541" s="656"/>
      <c r="K541" s="656"/>
    </row>
    <row r="542" spans="9:11" ht="12.75">
      <c r="I542" s="656"/>
      <c r="J542" s="656"/>
      <c r="K542" s="656"/>
    </row>
    <row r="543" spans="9:11" ht="12.75">
      <c r="I543" s="656"/>
      <c r="J543" s="656"/>
      <c r="K543" s="656"/>
    </row>
    <row r="544" spans="9:11" ht="12.75">
      <c r="I544" s="656"/>
      <c r="J544" s="656"/>
      <c r="K544" s="656"/>
    </row>
    <row r="545" spans="9:11" ht="12.75">
      <c r="I545" s="656"/>
      <c r="J545" s="656"/>
      <c r="K545" s="656"/>
    </row>
    <row r="546" spans="9:11" ht="12.75">
      <c r="I546" s="656"/>
      <c r="J546" s="656"/>
      <c r="K546" s="656"/>
    </row>
    <row r="547" spans="9:11" ht="12.75">
      <c r="I547" s="656"/>
      <c r="J547" s="656"/>
      <c r="K547" s="656"/>
    </row>
    <row r="548" spans="9:11" ht="12.75">
      <c r="I548" s="656"/>
      <c r="J548" s="656"/>
      <c r="K548" s="656"/>
    </row>
    <row r="549" spans="9:11" ht="12.75">
      <c r="I549" s="656"/>
      <c r="J549" s="656"/>
      <c r="K549" s="656"/>
    </row>
    <row r="550" spans="9:11" ht="12.75">
      <c r="I550" s="656"/>
      <c r="J550" s="656"/>
      <c r="K550" s="656"/>
    </row>
    <row r="551" spans="9:11" ht="12.75">
      <c r="I551" s="656"/>
      <c r="J551" s="656"/>
      <c r="K551" s="656"/>
    </row>
    <row r="552" spans="9:11" ht="12.75">
      <c r="I552" s="656"/>
      <c r="J552" s="656"/>
      <c r="K552" s="656"/>
    </row>
    <row r="553" spans="9:11" ht="12.75">
      <c r="I553" s="656"/>
      <c r="J553" s="656"/>
      <c r="K553" s="656"/>
    </row>
    <row r="554" spans="9:11" ht="12.75">
      <c r="I554" s="656"/>
      <c r="J554" s="656"/>
      <c r="K554" s="656"/>
    </row>
    <row r="555" spans="9:11" ht="12.75">
      <c r="I555" s="656"/>
      <c r="J555" s="656"/>
      <c r="K555" s="656"/>
    </row>
    <row r="556" spans="9:11" ht="12.75">
      <c r="I556" s="656"/>
      <c r="J556" s="656"/>
      <c r="K556" s="656"/>
    </row>
    <row r="557" spans="9:11" ht="12.75">
      <c r="I557" s="656"/>
      <c r="J557" s="656"/>
      <c r="K557" s="656"/>
    </row>
    <row r="558" spans="9:11" ht="12.75">
      <c r="I558" s="656"/>
      <c r="J558" s="656"/>
      <c r="K558" s="656"/>
    </row>
    <row r="559" spans="9:11" ht="12.75">
      <c r="I559" s="656"/>
      <c r="J559" s="656"/>
      <c r="K559" s="656"/>
    </row>
    <row r="560" spans="9:11" ht="12.75">
      <c r="I560" s="656"/>
      <c r="J560" s="656"/>
      <c r="K560" s="656"/>
    </row>
    <row r="561" spans="9:11" ht="12.75">
      <c r="I561" s="656"/>
      <c r="J561" s="656"/>
      <c r="K561" s="656"/>
    </row>
    <row r="562" spans="9:11" ht="12.75">
      <c r="I562" s="656"/>
      <c r="J562" s="656"/>
      <c r="K562" s="656"/>
    </row>
    <row r="563" spans="9:11" ht="12.75">
      <c r="I563" s="656"/>
      <c r="J563" s="656"/>
      <c r="K563" s="656"/>
    </row>
    <row r="564" spans="9:11" ht="12.75">
      <c r="I564" s="656"/>
      <c r="J564" s="656"/>
      <c r="K564" s="656"/>
    </row>
    <row r="565" spans="9:11" ht="12.75">
      <c r="I565" s="656"/>
      <c r="J565" s="656"/>
      <c r="K565" s="656"/>
    </row>
    <row r="566" spans="9:11" ht="12.75">
      <c r="I566" s="656"/>
      <c r="J566" s="656"/>
      <c r="K566" s="656"/>
    </row>
    <row r="567" spans="9:11" ht="12.75">
      <c r="I567" s="656"/>
      <c r="J567" s="656"/>
      <c r="K567" s="656"/>
    </row>
    <row r="568" spans="9:11" ht="12.75">
      <c r="I568" s="656"/>
      <c r="J568" s="656"/>
      <c r="K568" s="656"/>
    </row>
    <row r="569" spans="9:11" ht="12.75">
      <c r="I569" s="656"/>
      <c r="J569" s="656"/>
      <c r="K569" s="656"/>
    </row>
    <row r="570" spans="9:11" ht="12.75">
      <c r="I570" s="656"/>
      <c r="J570" s="656"/>
      <c r="K570" s="656"/>
    </row>
    <row r="571" spans="9:11" ht="12.75">
      <c r="I571" s="656"/>
      <c r="J571" s="656"/>
      <c r="K571" s="656"/>
    </row>
    <row r="572" spans="9:11" ht="12.75">
      <c r="I572" s="656"/>
      <c r="J572" s="656"/>
      <c r="K572" s="656"/>
    </row>
    <row r="573" spans="9:11" ht="12.75">
      <c r="I573" s="656"/>
      <c r="J573" s="656"/>
      <c r="K573" s="656"/>
    </row>
    <row r="574" spans="9:11" ht="12.75">
      <c r="I574" s="656"/>
      <c r="J574" s="656"/>
      <c r="K574" s="656"/>
    </row>
    <row r="575" spans="9:11" ht="12.75">
      <c r="I575" s="656"/>
      <c r="J575" s="656"/>
      <c r="K575" s="656"/>
    </row>
    <row r="576" spans="9:11" ht="12.75">
      <c r="I576" s="656"/>
      <c r="J576" s="656"/>
      <c r="K576" s="656"/>
    </row>
    <row r="577" spans="9:11" ht="12.75">
      <c r="I577" s="656"/>
      <c r="J577" s="656"/>
      <c r="K577" s="656"/>
    </row>
    <row r="578" spans="9:11" ht="12.75">
      <c r="I578" s="656"/>
      <c r="J578" s="656"/>
      <c r="K578" s="656"/>
    </row>
    <row r="579" spans="9:11" ht="12.75">
      <c r="I579" s="656"/>
      <c r="J579" s="656"/>
      <c r="K579" s="656"/>
    </row>
    <row r="580" spans="9:11" ht="12.75">
      <c r="I580" s="656"/>
      <c r="J580" s="656"/>
      <c r="K580" s="656"/>
    </row>
    <row r="581" spans="9:11" ht="12.75">
      <c r="I581" s="656"/>
      <c r="J581" s="656"/>
      <c r="K581" s="656"/>
    </row>
    <row r="582" spans="9:11" ht="12.75">
      <c r="I582" s="656"/>
      <c r="J582" s="656"/>
      <c r="K582" s="656"/>
    </row>
    <row r="583" spans="9:11" ht="12.75">
      <c r="I583" s="656"/>
      <c r="J583" s="656"/>
      <c r="K583" s="656"/>
    </row>
    <row r="584" spans="9:11" ht="12.75">
      <c r="I584" s="656"/>
      <c r="J584" s="656"/>
      <c r="K584" s="656"/>
    </row>
    <row r="585" spans="9:11" ht="12.75">
      <c r="I585" s="656"/>
      <c r="J585" s="656"/>
      <c r="K585" s="656"/>
    </row>
    <row r="586" spans="9:11" ht="12.75">
      <c r="I586" s="656"/>
      <c r="J586" s="656"/>
      <c r="K586" s="656"/>
    </row>
    <row r="587" spans="9:11" ht="12.75">
      <c r="I587" s="656"/>
      <c r="J587" s="656"/>
      <c r="K587" s="656"/>
    </row>
    <row r="588" spans="9:11" ht="12.75">
      <c r="I588" s="656"/>
      <c r="J588" s="656"/>
      <c r="K588" s="656"/>
    </row>
    <row r="589" spans="9:11" ht="12.75">
      <c r="I589" s="656"/>
      <c r="J589" s="656"/>
      <c r="K589" s="656"/>
    </row>
    <row r="590" spans="9:11" ht="12.75">
      <c r="I590" s="656"/>
      <c r="J590" s="656"/>
      <c r="K590" s="656"/>
    </row>
    <row r="591" spans="9:11" ht="12.75">
      <c r="I591" s="656"/>
      <c r="J591" s="656"/>
      <c r="K591" s="656"/>
    </row>
    <row r="592" spans="9:11" ht="12.75">
      <c r="I592" s="656"/>
      <c r="J592" s="656"/>
      <c r="K592" s="656"/>
    </row>
    <row r="593" spans="9:11" ht="12.75">
      <c r="I593" s="656"/>
      <c r="J593" s="656"/>
      <c r="K593" s="656"/>
    </row>
    <row r="594" spans="9:11" ht="12.75">
      <c r="I594" s="656"/>
      <c r="J594" s="656"/>
      <c r="K594" s="656"/>
    </row>
    <row r="595" spans="9:11" ht="12.75">
      <c r="I595" s="656"/>
      <c r="J595" s="656"/>
      <c r="K595" s="656"/>
    </row>
    <row r="596" spans="9:11" ht="12.75">
      <c r="I596" s="656"/>
      <c r="J596" s="656"/>
      <c r="K596" s="656"/>
    </row>
    <row r="597" spans="9:11" ht="12.75">
      <c r="I597" s="656"/>
      <c r="J597" s="656"/>
      <c r="K597" s="656"/>
    </row>
    <row r="598" spans="9:11" ht="12.75">
      <c r="I598" s="656"/>
      <c r="J598" s="656"/>
      <c r="K598" s="656"/>
    </row>
    <row r="599" spans="9:11" ht="12.75">
      <c r="I599" s="656"/>
      <c r="J599" s="656"/>
      <c r="K599" s="656"/>
    </row>
    <row r="600" spans="9:11" ht="12.75">
      <c r="I600" s="656"/>
      <c r="J600" s="656"/>
      <c r="K600" s="656"/>
    </row>
    <row r="601" spans="9:11" ht="12.75">
      <c r="I601" s="656"/>
      <c r="J601" s="656"/>
      <c r="K601" s="656"/>
    </row>
    <row r="602" spans="9:11" ht="12.75">
      <c r="I602" s="656"/>
      <c r="J602" s="656"/>
      <c r="K602" s="656"/>
    </row>
    <row r="603" spans="9:11" ht="12.75">
      <c r="I603" s="656"/>
      <c r="J603" s="656"/>
      <c r="K603" s="656"/>
    </row>
    <row r="604" spans="9:11" ht="12.75">
      <c r="I604" s="656"/>
      <c r="J604" s="656"/>
      <c r="K604" s="656"/>
    </row>
    <row r="605" spans="9:11" ht="12.75">
      <c r="I605" s="656"/>
      <c r="J605" s="656"/>
      <c r="K605" s="656"/>
    </row>
    <row r="606" spans="9:11" ht="12.75">
      <c r="I606" s="656"/>
      <c r="J606" s="656"/>
      <c r="K606" s="656"/>
    </row>
    <row r="607" spans="9:11" ht="12.75">
      <c r="I607" s="656"/>
      <c r="J607" s="656"/>
      <c r="K607" s="656"/>
    </row>
    <row r="608" spans="9:11" ht="12.75">
      <c r="I608" s="656"/>
      <c r="J608" s="656"/>
      <c r="K608" s="656"/>
    </row>
    <row r="609" spans="9:11" ht="12.75">
      <c r="I609" s="656"/>
      <c r="J609" s="656"/>
      <c r="K609" s="656"/>
    </row>
    <row r="610" spans="9:11" ht="12.75">
      <c r="I610" s="656"/>
      <c r="J610" s="656"/>
      <c r="K610" s="656"/>
    </row>
    <row r="611" spans="9:11" ht="12.75">
      <c r="I611" s="656"/>
      <c r="J611" s="656"/>
      <c r="K611" s="656"/>
    </row>
    <row r="612" spans="9:11" ht="12.75">
      <c r="I612" s="656"/>
      <c r="J612" s="656"/>
      <c r="K612" s="656"/>
    </row>
    <row r="613" spans="9:11" ht="12.75">
      <c r="I613" s="656"/>
      <c r="J613" s="656"/>
      <c r="K613" s="656"/>
    </row>
    <row r="614" spans="9:11" ht="12.75">
      <c r="I614" s="656"/>
      <c r="J614" s="656"/>
      <c r="K614" s="656"/>
    </row>
    <row r="615" spans="9:11" ht="12.75">
      <c r="I615" s="656"/>
      <c r="J615" s="656"/>
      <c r="K615" s="656"/>
    </row>
    <row r="616" spans="9:11" ht="12.75">
      <c r="I616" s="656"/>
      <c r="J616" s="656"/>
      <c r="K616" s="656"/>
    </row>
    <row r="617" spans="9:11" ht="12.75">
      <c r="I617" s="656"/>
      <c r="J617" s="656"/>
      <c r="K617" s="656"/>
    </row>
    <row r="618" spans="9:11" ht="12.75">
      <c r="I618" s="656"/>
      <c r="J618" s="656"/>
      <c r="K618" s="656"/>
    </row>
    <row r="619" spans="9:11" ht="12.75">
      <c r="I619" s="656"/>
      <c r="J619" s="656"/>
      <c r="K619" s="656"/>
    </row>
    <row r="620" spans="9:11" ht="12.75">
      <c r="I620" s="656"/>
      <c r="J620" s="656"/>
      <c r="K620" s="656"/>
    </row>
    <row r="621" spans="9:11" ht="12.75">
      <c r="I621" s="656"/>
      <c r="J621" s="656"/>
      <c r="K621" s="656"/>
    </row>
    <row r="622" spans="9:11" ht="12.75">
      <c r="I622" s="656"/>
      <c r="J622" s="656"/>
      <c r="K622" s="656"/>
    </row>
    <row r="623" spans="9:11" ht="12.75">
      <c r="I623" s="656"/>
      <c r="J623" s="656"/>
      <c r="K623" s="656"/>
    </row>
    <row r="624" spans="9:11" ht="12.75">
      <c r="I624" s="656"/>
      <c r="J624" s="656"/>
      <c r="K624" s="656"/>
    </row>
    <row r="625" spans="9:11" ht="12.75">
      <c r="I625" s="656"/>
      <c r="J625" s="656"/>
      <c r="K625" s="656"/>
    </row>
    <row r="626" spans="9:11" ht="12.75">
      <c r="I626" s="656"/>
      <c r="J626" s="656"/>
      <c r="K626" s="656"/>
    </row>
    <row r="627" spans="9:11" ht="12.75">
      <c r="I627" s="656"/>
      <c r="J627" s="656"/>
      <c r="K627" s="656"/>
    </row>
    <row r="628" spans="9:11" ht="12.75">
      <c r="I628" s="656"/>
      <c r="J628" s="656"/>
      <c r="K628" s="656"/>
    </row>
    <row r="629" spans="9:11" ht="12.75">
      <c r="I629" s="656"/>
      <c r="J629" s="656"/>
      <c r="K629" s="656"/>
    </row>
    <row r="630" spans="9:11" ht="12.75">
      <c r="I630" s="656"/>
      <c r="J630" s="656"/>
      <c r="K630" s="656"/>
    </row>
    <row r="631" spans="9:11" ht="12.75">
      <c r="I631" s="656"/>
      <c r="J631" s="656"/>
      <c r="K631" s="656"/>
    </row>
    <row r="632" spans="9:11" ht="12.75">
      <c r="I632" s="656"/>
      <c r="J632" s="656"/>
      <c r="K632" s="656"/>
    </row>
    <row r="633" spans="9:11" ht="12.75">
      <c r="I633" s="656"/>
      <c r="J633" s="656"/>
      <c r="K633" s="656"/>
    </row>
    <row r="634" spans="9:11" ht="12.75">
      <c r="I634" s="656"/>
      <c r="J634" s="656"/>
      <c r="K634" s="656"/>
    </row>
    <row r="635" spans="9:11" ht="12.75">
      <c r="I635" s="656"/>
      <c r="J635" s="656"/>
      <c r="K635" s="656"/>
    </row>
    <row r="636" spans="9:11" ht="12.75">
      <c r="I636" s="656"/>
      <c r="J636" s="656"/>
      <c r="K636" s="656"/>
    </row>
    <row r="637" spans="9:11" ht="12.75">
      <c r="I637" s="656"/>
      <c r="J637" s="656"/>
      <c r="K637" s="656"/>
    </row>
    <row r="638" spans="9:11" ht="12.75">
      <c r="I638" s="656"/>
      <c r="J638" s="656"/>
      <c r="K638" s="656"/>
    </row>
    <row r="639" spans="9:11" ht="12.75">
      <c r="I639" s="656"/>
      <c r="J639" s="656"/>
      <c r="K639" s="656"/>
    </row>
    <row r="640" spans="9:11" ht="12.75">
      <c r="I640" s="656"/>
      <c r="J640" s="656"/>
      <c r="K640" s="656"/>
    </row>
    <row r="641" spans="9:11" ht="12.75">
      <c r="I641" s="656"/>
      <c r="J641" s="656"/>
      <c r="K641" s="656"/>
    </row>
    <row r="642" spans="9:11" ht="12.75">
      <c r="I642" s="656"/>
      <c r="J642" s="656"/>
      <c r="K642" s="656"/>
    </row>
    <row r="643" spans="9:11" ht="12.75">
      <c r="I643" s="656"/>
      <c r="J643" s="656"/>
      <c r="K643" s="656"/>
    </row>
    <row r="644" spans="9:11" ht="12.75">
      <c r="I644" s="656"/>
      <c r="J644" s="656"/>
      <c r="K644" s="656"/>
    </row>
    <row r="645" spans="9:11" ht="12.75">
      <c r="I645" s="656"/>
      <c r="J645" s="656"/>
      <c r="K645" s="656"/>
    </row>
    <row r="646" spans="9:11" ht="12.75">
      <c r="I646" s="656"/>
      <c r="J646" s="656"/>
      <c r="K646" s="656"/>
    </row>
    <row r="647" spans="9:11" ht="12.75">
      <c r="I647" s="656"/>
      <c r="J647" s="656"/>
      <c r="K647" s="656"/>
    </row>
    <row r="648" spans="9:11" ht="12.75">
      <c r="I648" s="656"/>
      <c r="J648" s="656"/>
      <c r="K648" s="656"/>
    </row>
    <row r="649" spans="9:11" ht="12.75">
      <c r="I649" s="656"/>
      <c r="J649" s="656"/>
      <c r="K649" s="656"/>
    </row>
    <row r="650" spans="9:11" ht="12.75">
      <c r="I650" s="656"/>
      <c r="J650" s="656"/>
      <c r="K650" s="656"/>
    </row>
    <row r="651" spans="9:11" ht="12.75">
      <c r="I651" s="656"/>
      <c r="J651" s="656"/>
      <c r="K651" s="656"/>
    </row>
    <row r="652" spans="9:11" ht="12.75">
      <c r="I652" s="656"/>
      <c r="J652" s="656"/>
      <c r="K652" s="656"/>
    </row>
    <row r="653" spans="9:11" ht="12.75">
      <c r="I653" s="656"/>
      <c r="J653" s="656"/>
      <c r="K653" s="656"/>
    </row>
    <row r="654" spans="9:11" ht="12.75">
      <c r="I654" s="656"/>
      <c r="J654" s="656"/>
      <c r="K654" s="656"/>
    </row>
    <row r="655" spans="9:11" ht="12.75">
      <c r="I655" s="656"/>
      <c r="J655" s="656"/>
      <c r="K655" s="656"/>
    </row>
    <row r="656" spans="9:11" ht="12.75">
      <c r="I656" s="656"/>
      <c r="J656" s="656"/>
      <c r="K656" s="656"/>
    </row>
    <row r="657" spans="9:11" ht="12.75">
      <c r="I657" s="656"/>
      <c r="J657" s="656"/>
      <c r="K657" s="656"/>
    </row>
    <row r="658" spans="9:11" ht="12.75">
      <c r="I658" s="656"/>
      <c r="J658" s="656"/>
      <c r="K658" s="656"/>
    </row>
    <row r="659" spans="9:11" ht="12.75">
      <c r="I659" s="656"/>
      <c r="J659" s="656"/>
      <c r="K659" s="656"/>
    </row>
    <row r="660" spans="9:11" ht="12.75">
      <c r="I660" s="656"/>
      <c r="J660" s="656"/>
      <c r="K660" s="656"/>
    </row>
    <row r="661" spans="9:11" ht="12.75">
      <c r="I661" s="656"/>
      <c r="J661" s="656"/>
      <c r="K661" s="656"/>
    </row>
    <row r="662" spans="9:11" ht="12.75">
      <c r="I662" s="656"/>
      <c r="J662" s="656"/>
      <c r="K662" s="656"/>
    </row>
    <row r="663" spans="9:11" ht="12.75">
      <c r="I663" s="656"/>
      <c r="J663" s="656"/>
      <c r="K663" s="656"/>
    </row>
    <row r="664" spans="9:11" ht="12.75">
      <c r="I664" s="656"/>
      <c r="J664" s="656"/>
      <c r="K664" s="656"/>
    </row>
    <row r="665" spans="9:11" ht="12.75">
      <c r="I665" s="656"/>
      <c r="J665" s="656"/>
      <c r="K665" s="656"/>
    </row>
    <row r="666" spans="9:11" ht="12.75">
      <c r="I666" s="656"/>
      <c r="J666" s="656"/>
      <c r="K666" s="656"/>
    </row>
    <row r="667" spans="9:11" ht="12.75">
      <c r="I667" s="656"/>
      <c r="J667" s="656"/>
      <c r="K667" s="656"/>
    </row>
    <row r="668" spans="9:11" ht="12.75">
      <c r="I668" s="656"/>
      <c r="J668" s="656"/>
      <c r="K668" s="656"/>
    </row>
    <row r="669" spans="9:11" ht="12.75">
      <c r="I669" s="656"/>
      <c r="J669" s="656"/>
      <c r="K669" s="656"/>
    </row>
    <row r="670" spans="9:11" ht="12.75">
      <c r="I670" s="656"/>
      <c r="J670" s="656"/>
      <c r="K670" s="656"/>
    </row>
    <row r="671" spans="9:11" ht="12.75">
      <c r="I671" s="656"/>
      <c r="J671" s="656"/>
      <c r="K671" s="656"/>
    </row>
    <row r="672" spans="9:11" ht="12.75">
      <c r="I672" s="656"/>
      <c r="J672" s="656"/>
      <c r="K672" s="656"/>
    </row>
    <row r="673" spans="9:11" ht="12.75">
      <c r="I673" s="656"/>
      <c r="J673" s="656"/>
      <c r="K673" s="656"/>
    </row>
    <row r="674" spans="9:11" ht="12.75">
      <c r="I674" s="656"/>
      <c r="J674" s="656"/>
      <c r="K674" s="656"/>
    </row>
    <row r="675" spans="9:11" ht="12.75">
      <c r="I675" s="656"/>
      <c r="J675" s="656"/>
      <c r="K675" s="656"/>
    </row>
    <row r="676" spans="9:11" ht="12.75">
      <c r="I676" s="656"/>
      <c r="J676" s="656"/>
      <c r="K676" s="656"/>
    </row>
    <row r="677" spans="9:11" ht="12.75">
      <c r="I677" s="656"/>
      <c r="J677" s="656"/>
      <c r="K677" s="656"/>
    </row>
    <row r="678" spans="9:11" ht="12.75">
      <c r="I678" s="656"/>
      <c r="J678" s="656"/>
      <c r="K678" s="656"/>
    </row>
    <row r="679" spans="9:11" ht="12.75">
      <c r="I679" s="656"/>
      <c r="J679" s="656"/>
      <c r="K679" s="656"/>
    </row>
    <row r="680" spans="9:11" ht="12.75">
      <c r="I680" s="656"/>
      <c r="J680" s="656"/>
      <c r="K680" s="656"/>
    </row>
    <row r="681" spans="9:11" ht="12.75">
      <c r="I681" s="656"/>
      <c r="J681" s="656"/>
      <c r="K681" s="656"/>
    </row>
    <row r="682" spans="9:11" ht="12.75">
      <c r="I682" s="656"/>
      <c r="J682" s="656"/>
      <c r="K682" s="656"/>
    </row>
    <row r="683" spans="9:11" ht="12.75">
      <c r="I683" s="656"/>
      <c r="J683" s="656"/>
      <c r="K683" s="656"/>
    </row>
    <row r="684" spans="9:11" ht="12.75">
      <c r="I684" s="656"/>
      <c r="J684" s="656"/>
      <c r="K684" s="656"/>
    </row>
    <row r="685" spans="9:11" ht="12.75">
      <c r="I685" s="656"/>
      <c r="J685" s="656"/>
      <c r="K685" s="656"/>
    </row>
    <row r="686" spans="9:11" ht="12.75">
      <c r="I686" s="656"/>
      <c r="J686" s="656"/>
      <c r="K686" s="656"/>
    </row>
    <row r="687" spans="9:11" ht="12.75">
      <c r="I687" s="656"/>
      <c r="J687" s="656"/>
      <c r="K687" s="656"/>
    </row>
    <row r="688" spans="9:11" ht="12.75">
      <c r="I688" s="656"/>
      <c r="J688" s="656"/>
      <c r="K688" s="656"/>
    </row>
    <row r="689" spans="9:11" ht="12.75">
      <c r="I689" s="656"/>
      <c r="J689" s="656"/>
      <c r="K689" s="656"/>
    </row>
    <row r="690" spans="9:11" ht="12.75">
      <c r="I690" s="656"/>
      <c r="J690" s="656"/>
      <c r="K690" s="656"/>
    </row>
    <row r="691" spans="9:11" ht="12.75">
      <c r="I691" s="656"/>
      <c r="J691" s="656"/>
      <c r="K691" s="656"/>
    </row>
    <row r="692" spans="9:11" ht="12.75">
      <c r="I692" s="656"/>
      <c r="J692" s="656"/>
      <c r="K692" s="656"/>
    </row>
    <row r="693" spans="9:11" ht="12.75">
      <c r="I693" s="656"/>
      <c r="J693" s="656"/>
      <c r="K693" s="656"/>
    </row>
    <row r="694" spans="9:11" ht="12.75">
      <c r="I694" s="656"/>
      <c r="J694" s="656"/>
      <c r="K694" s="656"/>
    </row>
    <row r="695" spans="9:11" ht="12.75">
      <c r="I695" s="656"/>
      <c r="J695" s="656"/>
      <c r="K695" s="656"/>
    </row>
    <row r="696" spans="9:11" ht="12.75">
      <c r="I696" s="656"/>
      <c r="J696" s="656"/>
      <c r="K696" s="656"/>
    </row>
    <row r="697" spans="9:11" ht="12.75">
      <c r="I697" s="656"/>
      <c r="J697" s="656"/>
      <c r="K697" s="656"/>
    </row>
    <row r="698" spans="9:11" ht="12.75">
      <c r="I698" s="656"/>
      <c r="J698" s="656"/>
      <c r="K698" s="656"/>
    </row>
    <row r="699" spans="9:11" ht="12.75">
      <c r="I699" s="656"/>
      <c r="J699" s="656"/>
      <c r="K699" s="656"/>
    </row>
    <row r="700" spans="9:11" ht="12.75">
      <c r="I700" s="656"/>
      <c r="J700" s="656"/>
      <c r="K700" s="656"/>
    </row>
    <row r="701" spans="9:11" ht="12.75">
      <c r="I701" s="656"/>
      <c r="J701" s="656"/>
      <c r="K701" s="656"/>
    </row>
    <row r="702" spans="9:11" ht="12.75">
      <c r="I702" s="656"/>
      <c r="J702" s="656"/>
      <c r="K702" s="656"/>
    </row>
    <row r="703" spans="9:11" ht="12.75">
      <c r="I703" s="656"/>
      <c r="J703" s="656"/>
      <c r="K703" s="656"/>
    </row>
    <row r="704" spans="9:11" ht="12.75">
      <c r="I704" s="656"/>
      <c r="J704" s="656"/>
      <c r="K704" s="656"/>
    </row>
    <row r="705" spans="9:11" ht="12.75">
      <c r="I705" s="656"/>
      <c r="J705" s="656"/>
      <c r="K705" s="656"/>
    </row>
    <row r="706" spans="9:11" ht="12.75">
      <c r="I706" s="656"/>
      <c r="J706" s="656"/>
      <c r="K706" s="656"/>
    </row>
    <row r="707" spans="9:11" ht="12.75">
      <c r="I707" s="656"/>
      <c r="J707" s="656"/>
      <c r="K707" s="656"/>
    </row>
    <row r="708" spans="9:11" ht="12.75">
      <c r="I708" s="656"/>
      <c r="J708" s="656"/>
      <c r="K708" s="656"/>
    </row>
    <row r="709" spans="9:11" ht="12.75">
      <c r="I709" s="656"/>
      <c r="J709" s="656"/>
      <c r="K709" s="656"/>
    </row>
    <row r="710" spans="9:11" ht="12.75">
      <c r="I710" s="656"/>
      <c r="J710" s="656"/>
      <c r="K710" s="656"/>
    </row>
    <row r="711" spans="9:11" ht="12.75">
      <c r="I711" s="656"/>
      <c r="J711" s="656"/>
      <c r="K711" s="656"/>
    </row>
    <row r="712" spans="9:11" ht="12.75">
      <c r="I712" s="656"/>
      <c r="J712" s="656"/>
      <c r="K712" s="656"/>
    </row>
    <row r="713" spans="9:11" ht="12.75">
      <c r="I713" s="656"/>
      <c r="J713" s="656"/>
      <c r="K713" s="656"/>
    </row>
    <row r="714" spans="9:11" ht="12.75">
      <c r="I714" s="656"/>
      <c r="J714" s="656"/>
      <c r="K714" s="656"/>
    </row>
    <row r="715" spans="9:11" ht="12.75">
      <c r="I715" s="656"/>
      <c r="J715" s="656"/>
      <c r="K715" s="656"/>
    </row>
    <row r="716" spans="9:11" ht="12.75">
      <c r="I716" s="656"/>
      <c r="J716" s="656"/>
      <c r="K716" s="656"/>
    </row>
    <row r="717" spans="9:11" ht="12.75">
      <c r="I717" s="656"/>
      <c r="J717" s="656"/>
      <c r="K717" s="656"/>
    </row>
    <row r="718" spans="9:11" ht="12.75">
      <c r="I718" s="656"/>
      <c r="J718" s="656"/>
      <c r="K718" s="656"/>
    </row>
    <row r="719" spans="9:11" ht="12.75">
      <c r="I719" s="656"/>
      <c r="J719" s="656"/>
      <c r="K719" s="656"/>
    </row>
    <row r="720" spans="9:11" ht="12.75">
      <c r="I720" s="656"/>
      <c r="J720" s="656"/>
      <c r="K720" s="656"/>
    </row>
    <row r="721" spans="9:11" ht="12.75">
      <c r="I721" s="656"/>
      <c r="J721" s="656"/>
      <c r="K721" s="656"/>
    </row>
    <row r="722" spans="9:11" ht="12.75">
      <c r="I722" s="656"/>
      <c r="J722" s="656"/>
      <c r="K722" s="656"/>
    </row>
    <row r="723" spans="9:11" ht="12.75">
      <c r="I723" s="656"/>
      <c r="J723" s="656"/>
      <c r="K723" s="656"/>
    </row>
    <row r="724" spans="9:11" ht="12.75">
      <c r="I724" s="656"/>
      <c r="J724" s="656"/>
      <c r="K724" s="656"/>
    </row>
    <row r="725" spans="9:11" ht="12.75">
      <c r="I725" s="656"/>
      <c r="J725" s="656"/>
      <c r="K725" s="656"/>
    </row>
    <row r="726" spans="9:11" ht="12.75">
      <c r="I726" s="656"/>
      <c r="J726" s="656"/>
      <c r="K726" s="656"/>
    </row>
    <row r="727" spans="9:11" ht="12.75">
      <c r="I727" s="656"/>
      <c r="J727" s="656"/>
      <c r="K727" s="656"/>
    </row>
    <row r="728" spans="9:11" ht="12.75">
      <c r="I728" s="656"/>
      <c r="J728" s="656"/>
      <c r="K728" s="656"/>
    </row>
    <row r="729" spans="9:11" ht="12.75">
      <c r="I729" s="656"/>
      <c r="J729" s="656"/>
      <c r="K729" s="656"/>
    </row>
    <row r="730" spans="9:11" ht="12.75">
      <c r="I730" s="656"/>
      <c r="J730" s="656"/>
      <c r="K730" s="656"/>
    </row>
    <row r="731" spans="9:11" ht="12.75">
      <c r="I731" s="656"/>
      <c r="J731" s="656"/>
      <c r="K731" s="656"/>
    </row>
    <row r="732" spans="9:11" ht="12.75">
      <c r="I732" s="656"/>
      <c r="J732" s="656"/>
      <c r="K732" s="656"/>
    </row>
    <row r="733" spans="9:11" ht="12.75">
      <c r="I733" s="656"/>
      <c r="J733" s="656"/>
      <c r="K733" s="656"/>
    </row>
    <row r="734" spans="9:11" ht="12.75">
      <c r="I734" s="656"/>
      <c r="J734" s="656"/>
      <c r="K734" s="656"/>
    </row>
    <row r="735" spans="9:11" ht="12.75">
      <c r="I735" s="656"/>
      <c r="J735" s="656"/>
      <c r="K735" s="656"/>
    </row>
    <row r="736" spans="9:11" ht="12.75">
      <c r="I736" s="656"/>
      <c r="J736" s="656"/>
      <c r="K736" s="656"/>
    </row>
    <row r="737" spans="9:11" ht="12.75">
      <c r="I737" s="656"/>
      <c r="J737" s="656"/>
      <c r="K737" s="656"/>
    </row>
    <row r="738" spans="9:11" ht="12.75">
      <c r="I738" s="656"/>
      <c r="J738" s="656"/>
      <c r="K738" s="656"/>
    </row>
    <row r="739" spans="9:11" ht="12.75">
      <c r="I739" s="656"/>
      <c r="J739" s="656"/>
      <c r="K739" s="656"/>
    </row>
    <row r="740" spans="9:11" ht="12.75">
      <c r="I740" s="656"/>
      <c r="J740" s="656"/>
      <c r="K740" s="656"/>
    </row>
    <row r="741" spans="9:11" ht="12.75">
      <c r="I741" s="656"/>
      <c r="J741" s="656"/>
      <c r="K741" s="656"/>
    </row>
    <row r="742" spans="9:11" ht="12.75">
      <c r="I742" s="656"/>
      <c r="J742" s="656"/>
      <c r="K742" s="656"/>
    </row>
    <row r="743" spans="9:11" ht="12.75">
      <c r="I743" s="656"/>
      <c r="J743" s="656"/>
      <c r="K743" s="656"/>
    </row>
    <row r="744" spans="9:11" ht="12.75">
      <c r="I744" s="656"/>
      <c r="J744" s="656"/>
      <c r="K744" s="656"/>
    </row>
    <row r="745" spans="9:11" ht="12.75">
      <c r="I745" s="656"/>
      <c r="J745" s="656"/>
      <c r="K745" s="656"/>
    </row>
    <row r="746" spans="9:11" ht="12.75">
      <c r="I746" s="656"/>
      <c r="J746" s="656"/>
      <c r="K746" s="656"/>
    </row>
    <row r="747" spans="9:11" ht="12.75">
      <c r="I747" s="656"/>
      <c r="J747" s="656"/>
      <c r="K747" s="656"/>
    </row>
    <row r="748" spans="9:11" ht="12.75">
      <c r="I748" s="656"/>
      <c r="J748" s="656"/>
      <c r="K748" s="656"/>
    </row>
    <row r="749" spans="9:11" ht="12.75">
      <c r="I749" s="656"/>
      <c r="J749" s="656"/>
      <c r="K749" s="656"/>
    </row>
    <row r="750" spans="9:11" ht="12.75">
      <c r="I750" s="656"/>
      <c r="J750" s="656"/>
      <c r="K750" s="656"/>
    </row>
    <row r="751" spans="9:11" ht="12.75">
      <c r="I751" s="656"/>
      <c r="J751" s="656"/>
      <c r="K751" s="656"/>
    </row>
    <row r="752" spans="9:11" ht="12.75">
      <c r="I752" s="656"/>
      <c r="J752" s="656"/>
      <c r="K752" s="656"/>
    </row>
    <row r="753" spans="9:11" ht="12.75">
      <c r="I753" s="656"/>
      <c r="J753" s="656"/>
      <c r="K753" s="656"/>
    </row>
    <row r="754" spans="9:11" ht="12.75">
      <c r="I754" s="656"/>
      <c r="J754" s="656"/>
      <c r="K754" s="656"/>
    </row>
    <row r="755" spans="9:11" ht="12.75">
      <c r="I755" s="656"/>
      <c r="J755" s="656"/>
      <c r="K755" s="656"/>
    </row>
    <row r="756" spans="9:11" ht="12.75">
      <c r="I756" s="656"/>
      <c r="J756" s="656"/>
      <c r="K756" s="656"/>
    </row>
    <row r="757" spans="9:11" ht="12.75">
      <c r="I757" s="656"/>
      <c r="J757" s="656"/>
      <c r="K757" s="656"/>
    </row>
    <row r="758" spans="9:11" ht="12.75">
      <c r="I758" s="656"/>
      <c r="J758" s="656"/>
      <c r="K758" s="656"/>
    </row>
    <row r="759" spans="9:11" ht="12.75">
      <c r="I759" s="656"/>
      <c r="J759" s="656"/>
      <c r="K759" s="656"/>
    </row>
    <row r="760" spans="9:11" ht="12.75">
      <c r="I760" s="656"/>
      <c r="J760" s="656"/>
      <c r="K760" s="656"/>
    </row>
    <row r="761" spans="9:11" ht="12.75">
      <c r="I761" s="656"/>
      <c r="J761" s="656"/>
      <c r="K761" s="656"/>
    </row>
    <row r="762" spans="9:11" ht="12.75">
      <c r="I762" s="656"/>
      <c r="J762" s="656"/>
      <c r="K762" s="656"/>
    </row>
    <row r="763" spans="9:11" ht="12.75">
      <c r="I763" s="656"/>
      <c r="J763" s="656"/>
      <c r="K763" s="656"/>
    </row>
    <row r="764" spans="9:11" ht="12.75">
      <c r="I764" s="656"/>
      <c r="J764" s="656"/>
      <c r="K764" s="656"/>
    </row>
    <row r="765" spans="9:11" ht="12.75">
      <c r="I765" s="656"/>
      <c r="J765" s="656"/>
      <c r="K765" s="656"/>
    </row>
    <row r="766" spans="9:11" ht="12.75">
      <c r="I766" s="656"/>
      <c r="J766" s="656"/>
      <c r="K766" s="656"/>
    </row>
    <row r="767" spans="9:11" ht="12.75">
      <c r="I767" s="656"/>
      <c r="J767" s="656"/>
      <c r="K767" s="656"/>
    </row>
    <row r="768" spans="9:11" ht="12.75">
      <c r="I768" s="656"/>
      <c r="J768" s="656"/>
      <c r="K768" s="656"/>
    </row>
    <row r="769" spans="9:11" ht="12.75">
      <c r="I769" s="656"/>
      <c r="J769" s="656"/>
      <c r="K769" s="656"/>
    </row>
    <row r="770" spans="9:11" ht="12.75">
      <c r="I770" s="656"/>
      <c r="J770" s="656"/>
      <c r="K770" s="656"/>
    </row>
    <row r="771" spans="9:11" ht="12.75">
      <c r="I771" s="656"/>
      <c r="J771" s="656"/>
      <c r="K771" s="656"/>
    </row>
    <row r="772" spans="9:11" ht="12.75">
      <c r="I772" s="656"/>
      <c r="J772" s="656"/>
      <c r="K772" s="656"/>
    </row>
    <row r="773" spans="9:11" ht="12.75">
      <c r="I773" s="656"/>
      <c r="J773" s="656"/>
      <c r="K773" s="656"/>
    </row>
    <row r="774" spans="9:11" ht="12.75">
      <c r="I774" s="656"/>
      <c r="J774" s="656"/>
      <c r="K774" s="656"/>
    </row>
    <row r="775" spans="9:11" ht="12.75">
      <c r="I775" s="656"/>
      <c r="J775" s="656"/>
      <c r="K775" s="656"/>
    </row>
    <row r="776" spans="9:11" ht="12.75">
      <c r="I776" s="656"/>
      <c r="J776" s="656"/>
      <c r="K776" s="656"/>
    </row>
    <row r="777" spans="9:11" ht="12.75">
      <c r="I777" s="656"/>
      <c r="J777" s="656"/>
      <c r="K777" s="656"/>
    </row>
    <row r="778" spans="9:11" ht="12.75">
      <c r="I778" s="656"/>
      <c r="J778" s="656"/>
      <c r="K778" s="656"/>
    </row>
    <row r="779" spans="9:11" ht="12.75">
      <c r="I779" s="656"/>
      <c r="J779" s="656"/>
      <c r="K779" s="656"/>
    </row>
    <row r="780" spans="9:11" ht="12.75">
      <c r="I780" s="656"/>
      <c r="J780" s="656"/>
      <c r="K780" s="656"/>
    </row>
    <row r="781" spans="9:11" ht="12.75">
      <c r="I781" s="656"/>
      <c r="J781" s="656"/>
      <c r="K781" s="656"/>
    </row>
    <row r="782" spans="9:11" ht="12.75">
      <c r="I782" s="656"/>
      <c r="J782" s="656"/>
      <c r="K782" s="656"/>
    </row>
    <row r="783" spans="9:11" ht="12.75">
      <c r="I783" s="656"/>
      <c r="J783" s="656"/>
      <c r="K783" s="656"/>
    </row>
    <row r="784" spans="9:11" ht="12.75">
      <c r="I784" s="656"/>
      <c r="J784" s="656"/>
      <c r="K784" s="656"/>
    </row>
    <row r="785" spans="9:11" ht="12.75">
      <c r="I785" s="656"/>
      <c r="J785" s="656"/>
      <c r="K785" s="656"/>
    </row>
    <row r="786" spans="9:11" ht="12.75">
      <c r="I786" s="656"/>
      <c r="J786" s="656"/>
      <c r="K786" s="656"/>
    </row>
    <row r="787" spans="9:11" ht="12.75">
      <c r="I787" s="656"/>
      <c r="J787" s="656"/>
      <c r="K787" s="656"/>
    </row>
    <row r="788" spans="9:11" ht="12.75">
      <c r="I788" s="656"/>
      <c r="J788" s="656"/>
      <c r="K788" s="656"/>
    </row>
    <row r="789" spans="9:11" ht="12.75">
      <c r="I789" s="656"/>
      <c r="J789" s="656"/>
      <c r="K789" s="656"/>
    </row>
    <row r="790" spans="9:11" ht="12.75">
      <c r="I790" s="656"/>
      <c r="J790" s="656"/>
      <c r="K790" s="656"/>
    </row>
    <row r="791" spans="9:11" ht="12.75">
      <c r="I791" s="656"/>
      <c r="J791" s="656"/>
      <c r="K791" s="656"/>
    </row>
    <row r="792" spans="9:11" ht="12.75">
      <c r="I792" s="656"/>
      <c r="J792" s="656"/>
      <c r="K792" s="656"/>
    </row>
    <row r="793" spans="9:11" ht="12.75">
      <c r="I793" s="656"/>
      <c r="J793" s="656"/>
      <c r="K793" s="656"/>
    </row>
    <row r="794" spans="9:11" ht="12.75">
      <c r="I794" s="656"/>
      <c r="J794" s="656"/>
      <c r="K794" s="656"/>
    </row>
    <row r="795" spans="9:11" ht="12.75">
      <c r="I795" s="656"/>
      <c r="J795" s="656"/>
      <c r="K795" s="656"/>
    </row>
    <row r="796" spans="9:11" ht="12.75">
      <c r="I796" s="656"/>
      <c r="J796" s="656"/>
      <c r="K796" s="656"/>
    </row>
    <row r="797" spans="9:11" ht="12.75">
      <c r="I797" s="656"/>
      <c r="J797" s="656"/>
      <c r="K797" s="656"/>
    </row>
    <row r="798" spans="9:11" ht="12.75">
      <c r="I798" s="656"/>
      <c r="J798" s="656"/>
      <c r="K798" s="656"/>
    </row>
    <row r="799" spans="9:11" ht="12.75">
      <c r="I799" s="656"/>
      <c r="J799" s="656"/>
      <c r="K799" s="656"/>
    </row>
    <row r="800" spans="9:11" ht="12.75">
      <c r="I800" s="656"/>
      <c r="J800" s="656"/>
      <c r="K800" s="656"/>
    </row>
    <row r="801" spans="9:11" ht="12.75">
      <c r="I801" s="656"/>
      <c r="J801" s="656"/>
      <c r="K801" s="656"/>
    </row>
    <row r="802" spans="9:11" ht="12.75">
      <c r="I802" s="656"/>
      <c r="J802" s="656"/>
      <c r="K802" s="656"/>
    </row>
    <row r="803" spans="9:11" ht="12.75">
      <c r="I803" s="656"/>
      <c r="J803" s="656"/>
      <c r="K803" s="656"/>
    </row>
    <row r="804" spans="9:11" ht="12.75">
      <c r="I804" s="656"/>
      <c r="J804" s="656"/>
      <c r="K804" s="656"/>
    </row>
    <row r="805" spans="9:11" ht="12.75">
      <c r="I805" s="656"/>
      <c r="J805" s="656"/>
      <c r="K805" s="656"/>
    </row>
    <row r="806" spans="9:11" ht="12.75">
      <c r="I806" s="656"/>
      <c r="J806" s="656"/>
      <c r="K806" s="656"/>
    </row>
    <row r="807" spans="9:11" ht="12.75">
      <c r="I807" s="656"/>
      <c r="J807" s="656"/>
      <c r="K807" s="656"/>
    </row>
    <row r="808" spans="9:11" ht="12.75">
      <c r="I808" s="656"/>
      <c r="J808" s="656"/>
      <c r="K808" s="656"/>
    </row>
    <row r="809" spans="9:11" ht="12.75">
      <c r="I809" s="656"/>
      <c r="J809" s="656"/>
      <c r="K809" s="656"/>
    </row>
    <row r="810" spans="9:11" ht="12.75">
      <c r="I810" s="656"/>
      <c r="J810" s="656"/>
      <c r="K810" s="656"/>
    </row>
    <row r="811" spans="9:11" ht="12.75">
      <c r="I811" s="656"/>
      <c r="J811" s="656"/>
      <c r="K811" s="656"/>
    </row>
    <row r="812" spans="9:11" ht="12.75">
      <c r="I812" s="656"/>
      <c r="J812" s="656"/>
      <c r="K812" s="656"/>
    </row>
    <row r="813" spans="9:11" ht="12.75">
      <c r="I813" s="656"/>
      <c r="J813" s="656"/>
      <c r="K813" s="656"/>
    </row>
    <row r="814" spans="9:11" ht="12.75">
      <c r="I814" s="656"/>
      <c r="J814" s="656"/>
      <c r="K814" s="656"/>
    </row>
    <row r="815" spans="9:11" ht="12.75">
      <c r="I815" s="656"/>
      <c r="J815" s="656"/>
      <c r="K815" s="656"/>
    </row>
    <row r="816" spans="9:11" ht="12.75">
      <c r="I816" s="656"/>
      <c r="J816" s="656"/>
      <c r="K816" s="656"/>
    </row>
    <row r="817" spans="9:11" ht="12.75">
      <c r="I817" s="656"/>
      <c r="J817" s="656"/>
      <c r="K817" s="656"/>
    </row>
    <row r="818" spans="9:11" ht="12.75">
      <c r="I818" s="656"/>
      <c r="J818" s="656"/>
      <c r="K818" s="656"/>
    </row>
    <row r="819" spans="9:11" ht="12.75">
      <c r="I819" s="656"/>
      <c r="J819" s="656"/>
      <c r="K819" s="656"/>
    </row>
    <row r="820" spans="9:11" ht="12.75">
      <c r="I820" s="656"/>
      <c r="J820" s="656"/>
      <c r="K820" s="656"/>
    </row>
    <row r="821" spans="9:11" ht="12.75">
      <c r="I821" s="656"/>
      <c r="J821" s="656"/>
      <c r="K821" s="656"/>
    </row>
    <row r="822" spans="9:11" ht="12.75">
      <c r="I822" s="656"/>
      <c r="J822" s="656"/>
      <c r="K822" s="656"/>
    </row>
    <row r="823" spans="9:11" ht="12.75">
      <c r="I823" s="656"/>
      <c r="J823" s="656"/>
      <c r="K823" s="656"/>
    </row>
    <row r="824" spans="9:11" ht="12.75">
      <c r="I824" s="656"/>
      <c r="J824" s="656"/>
      <c r="K824" s="656"/>
    </row>
    <row r="825" spans="9:11" ht="12.75">
      <c r="I825" s="656"/>
      <c r="J825" s="656"/>
      <c r="K825" s="656"/>
    </row>
    <row r="826" spans="9:11" ht="12.75">
      <c r="I826" s="656"/>
      <c r="J826" s="656"/>
      <c r="K826" s="656"/>
    </row>
    <row r="827" spans="9:11" ht="12.75">
      <c r="I827" s="656"/>
      <c r="J827" s="656"/>
      <c r="K827" s="656"/>
    </row>
    <row r="828" spans="9:11" ht="12.75">
      <c r="I828" s="656"/>
      <c r="J828" s="656"/>
      <c r="K828" s="656"/>
    </row>
    <row r="829" spans="9:11" ht="12.75">
      <c r="I829" s="656"/>
      <c r="J829" s="656"/>
      <c r="K829" s="656"/>
    </row>
    <row r="830" spans="9:11" ht="12.75">
      <c r="I830" s="656"/>
      <c r="J830" s="656"/>
      <c r="K830" s="656"/>
    </row>
    <row r="831" spans="9:11" ht="12.75">
      <c r="I831" s="656"/>
      <c r="J831" s="656"/>
      <c r="K831" s="656"/>
    </row>
    <row r="832" spans="9:11" ht="12.75">
      <c r="I832" s="656"/>
      <c r="J832" s="656"/>
      <c r="K832" s="656"/>
    </row>
    <row r="833" spans="9:11" ht="12.75">
      <c r="I833" s="656"/>
      <c r="J833" s="656"/>
      <c r="K833" s="656"/>
    </row>
    <row r="834" spans="9:11" ht="12.75">
      <c r="I834" s="656"/>
      <c r="J834" s="656"/>
      <c r="K834" s="656"/>
    </row>
    <row r="835" spans="9:11" ht="12.75">
      <c r="I835" s="656"/>
      <c r="J835" s="656"/>
      <c r="K835" s="656"/>
    </row>
    <row r="836" spans="9:11" ht="12.75">
      <c r="I836" s="656"/>
      <c r="J836" s="656"/>
      <c r="K836" s="656"/>
    </row>
    <row r="837" spans="9:11" ht="12.75">
      <c r="I837" s="656"/>
      <c r="J837" s="656"/>
      <c r="K837" s="656"/>
    </row>
    <row r="838" spans="9:11" ht="12.75">
      <c r="I838" s="656"/>
      <c r="J838" s="656"/>
      <c r="K838" s="656"/>
    </row>
    <row r="839" spans="9:11" ht="12.75">
      <c r="I839" s="656"/>
      <c r="J839" s="656"/>
      <c r="K839" s="656"/>
    </row>
    <row r="840" spans="9:11" ht="12.75">
      <c r="I840" s="656"/>
      <c r="J840" s="656"/>
      <c r="K840" s="656"/>
    </row>
    <row r="841" spans="9:11" ht="12.75">
      <c r="I841" s="656"/>
      <c r="J841" s="656"/>
      <c r="K841" s="656"/>
    </row>
    <row r="842" spans="9:11" ht="12.75">
      <c r="I842" s="656"/>
      <c r="J842" s="656"/>
      <c r="K842" s="656"/>
    </row>
    <row r="843" spans="9:11" ht="12.75">
      <c r="I843" s="656"/>
      <c r="J843" s="656"/>
      <c r="K843" s="656"/>
    </row>
    <row r="844" spans="9:11" ht="12.75">
      <c r="I844" s="656"/>
      <c r="J844" s="656"/>
      <c r="K844" s="656"/>
    </row>
    <row r="845" spans="9:11" ht="12.75">
      <c r="I845" s="656"/>
      <c r="J845" s="656"/>
      <c r="K845" s="656"/>
    </row>
    <row r="846" spans="9:11" ht="12.75">
      <c r="I846" s="656"/>
      <c r="J846" s="656"/>
      <c r="K846" s="656"/>
    </row>
    <row r="847" spans="9:11" ht="12.75">
      <c r="I847" s="656"/>
      <c r="J847" s="656"/>
      <c r="K847" s="656"/>
    </row>
    <row r="848" spans="9:11" ht="12.75">
      <c r="I848" s="656"/>
      <c r="J848" s="656"/>
      <c r="K848" s="656"/>
    </row>
    <row r="849" spans="9:11" ht="12.75">
      <c r="I849" s="656"/>
      <c r="J849" s="656"/>
      <c r="K849" s="656"/>
    </row>
    <row r="850" spans="9:11" ht="12.75">
      <c r="I850" s="656"/>
      <c r="J850" s="656"/>
      <c r="K850" s="656"/>
    </row>
    <row r="851" spans="9:11" ht="12.75">
      <c r="I851" s="656"/>
      <c r="J851" s="656"/>
      <c r="K851" s="656"/>
    </row>
    <row r="852" spans="9:11" ht="12.75">
      <c r="I852" s="656"/>
      <c r="J852" s="656"/>
      <c r="K852" s="656"/>
    </row>
    <row r="853" spans="9:11" ht="12.75">
      <c r="I853" s="656"/>
      <c r="J853" s="656"/>
      <c r="K853" s="656"/>
    </row>
    <row r="854" spans="9:11" ht="12.75">
      <c r="I854" s="656"/>
      <c r="J854" s="656"/>
      <c r="K854" s="656"/>
    </row>
    <row r="855" spans="9:11" ht="12.75">
      <c r="I855" s="656"/>
      <c r="J855" s="656"/>
      <c r="K855" s="656"/>
    </row>
    <row r="856" spans="9:11" ht="12.75">
      <c r="I856" s="656"/>
      <c r="J856" s="656"/>
      <c r="K856" s="656"/>
    </row>
    <row r="857" spans="9:11" ht="12.75">
      <c r="I857" s="656"/>
      <c r="J857" s="656"/>
      <c r="K857" s="656"/>
    </row>
    <row r="858" spans="9:11" ht="12.75">
      <c r="I858" s="656"/>
      <c r="J858" s="656"/>
      <c r="K858" s="656"/>
    </row>
    <row r="859" spans="9:11" ht="12.75">
      <c r="I859" s="656"/>
      <c r="J859" s="656"/>
      <c r="K859" s="656"/>
    </row>
    <row r="860" spans="9:11" ht="12.75">
      <c r="I860" s="656"/>
      <c r="J860" s="656"/>
      <c r="K860" s="656"/>
    </row>
    <row r="861" spans="9:11" ht="12.75">
      <c r="I861" s="656"/>
      <c r="J861" s="656"/>
      <c r="K861" s="656"/>
    </row>
    <row r="862" spans="9:11" ht="12.75">
      <c r="I862" s="656"/>
      <c r="J862" s="656"/>
      <c r="K862" s="656"/>
    </row>
    <row r="863" spans="9:11" ht="12.75">
      <c r="I863" s="656"/>
      <c r="J863" s="656"/>
      <c r="K863" s="656"/>
    </row>
    <row r="864" spans="9:11" ht="12.75">
      <c r="I864" s="656"/>
      <c r="J864" s="656"/>
      <c r="K864" s="656"/>
    </row>
    <row r="865" spans="9:11" ht="12.75">
      <c r="I865" s="656"/>
      <c r="J865" s="656"/>
      <c r="K865" s="656"/>
    </row>
    <row r="866" spans="9:11" ht="12.75">
      <c r="I866" s="656"/>
      <c r="J866" s="656"/>
      <c r="K866" s="656"/>
    </row>
    <row r="867" spans="9:11" ht="12.75">
      <c r="I867" s="656"/>
      <c r="J867" s="656"/>
      <c r="K867" s="656"/>
    </row>
    <row r="868" spans="9:11" ht="12.75">
      <c r="I868" s="656"/>
      <c r="J868" s="656"/>
      <c r="K868" s="656"/>
    </row>
    <row r="869" spans="9:11" ht="12.75">
      <c r="I869" s="656"/>
      <c r="J869" s="656"/>
      <c r="K869" s="656"/>
    </row>
    <row r="870" spans="9:11" ht="12.75">
      <c r="I870" s="656"/>
      <c r="J870" s="656"/>
      <c r="K870" s="656"/>
    </row>
    <row r="871" spans="9:11" ht="12.75">
      <c r="I871" s="656"/>
      <c r="J871" s="656"/>
      <c r="K871" s="656"/>
    </row>
    <row r="872" spans="9:11" ht="12.75">
      <c r="I872" s="656"/>
      <c r="J872" s="656"/>
      <c r="K872" s="656"/>
    </row>
    <row r="873" spans="9:11" ht="12.75">
      <c r="I873" s="656"/>
      <c r="J873" s="656"/>
      <c r="K873" s="656"/>
    </row>
    <row r="874" spans="9:11" ht="12.75">
      <c r="I874" s="656"/>
      <c r="J874" s="656"/>
      <c r="K874" s="656"/>
    </row>
    <row r="875" spans="9:11" ht="12.75">
      <c r="I875" s="656"/>
      <c r="J875" s="656"/>
      <c r="K875" s="656"/>
    </row>
    <row r="876" spans="9:11" ht="12.75">
      <c r="I876" s="656"/>
      <c r="J876" s="656"/>
      <c r="K876" s="656"/>
    </row>
    <row r="877" spans="9:11" ht="12.75">
      <c r="I877" s="656"/>
      <c r="J877" s="656"/>
      <c r="K877" s="656"/>
    </row>
    <row r="878" spans="9:11" ht="12.75">
      <c r="I878" s="656"/>
      <c r="J878" s="656"/>
      <c r="K878" s="656"/>
    </row>
    <row r="879" spans="9:11" ht="12.75">
      <c r="I879" s="656"/>
      <c r="J879" s="656"/>
      <c r="K879" s="656"/>
    </row>
    <row r="880" spans="9:11" ht="12.75">
      <c r="I880" s="656"/>
      <c r="J880" s="656"/>
      <c r="K880" s="656"/>
    </row>
    <row r="881" spans="9:11" ht="12.75">
      <c r="I881" s="656"/>
      <c r="J881" s="656"/>
      <c r="K881" s="656"/>
    </row>
    <row r="882" spans="9:11" ht="12.75">
      <c r="I882" s="656"/>
      <c r="J882" s="656"/>
      <c r="K882" s="656"/>
    </row>
    <row r="883" spans="9:11" ht="12.75">
      <c r="I883" s="656"/>
      <c r="J883" s="656"/>
      <c r="K883" s="656"/>
    </row>
    <row r="884" spans="9:11" ht="12.75">
      <c r="I884" s="656"/>
      <c r="J884" s="656"/>
      <c r="K884" s="656"/>
    </row>
    <row r="885" spans="9:11" ht="12.75">
      <c r="I885" s="656"/>
      <c r="J885" s="656"/>
      <c r="K885" s="656"/>
    </row>
    <row r="886" spans="9:11" ht="12.75">
      <c r="I886" s="656"/>
      <c r="J886" s="656"/>
      <c r="K886" s="656"/>
    </row>
    <row r="887" spans="9:11" ht="12.75">
      <c r="I887" s="656"/>
      <c r="J887" s="656"/>
      <c r="K887" s="656"/>
    </row>
    <row r="888" spans="9:11" ht="12.75">
      <c r="I888" s="656"/>
      <c r="J888" s="656"/>
      <c r="K888" s="656"/>
    </row>
    <row r="889" spans="9:11" ht="12.75">
      <c r="I889" s="656"/>
      <c r="J889" s="656"/>
      <c r="K889" s="656"/>
    </row>
    <row r="890" spans="9:11" ht="12.75">
      <c r="I890" s="656"/>
      <c r="J890" s="656"/>
      <c r="K890" s="656"/>
    </row>
    <row r="891" spans="9:11" ht="12.75">
      <c r="I891" s="656"/>
      <c r="J891" s="656"/>
      <c r="K891" s="656"/>
    </row>
    <row r="892" spans="9:11" ht="12.75">
      <c r="I892" s="656"/>
      <c r="J892" s="656"/>
      <c r="K892" s="656"/>
    </row>
    <row r="893" spans="9:11" ht="12.75">
      <c r="I893" s="656"/>
      <c r="J893" s="656"/>
      <c r="K893" s="656"/>
    </row>
    <row r="894" spans="9:11" ht="12.75">
      <c r="I894" s="656"/>
      <c r="J894" s="656"/>
      <c r="K894" s="656"/>
    </row>
    <row r="895" spans="9:11" ht="12.75">
      <c r="I895" s="656"/>
      <c r="J895" s="656"/>
      <c r="K895" s="656"/>
    </row>
    <row r="896" spans="9:11" ht="12.75">
      <c r="I896" s="656"/>
      <c r="J896" s="656"/>
      <c r="K896" s="656"/>
    </row>
    <row r="897" spans="9:11" ht="12.75">
      <c r="I897" s="656"/>
      <c r="J897" s="656"/>
      <c r="K897" s="656"/>
    </row>
    <row r="898" spans="9:11" ht="12.75">
      <c r="I898" s="656"/>
      <c r="J898" s="656"/>
      <c r="K898" s="656"/>
    </row>
    <row r="899" spans="9:11" ht="12.75">
      <c r="I899" s="656"/>
      <c r="J899" s="656"/>
      <c r="K899" s="656"/>
    </row>
    <row r="900" spans="9:11" ht="12.75">
      <c r="I900" s="656"/>
      <c r="J900" s="656"/>
      <c r="K900" s="656"/>
    </row>
    <row r="901" spans="9:11" ht="12.75">
      <c r="I901" s="656"/>
      <c r="J901" s="656"/>
      <c r="K901" s="656"/>
    </row>
    <row r="902" spans="9:11" ht="12.75">
      <c r="I902" s="656"/>
      <c r="J902" s="656"/>
      <c r="K902" s="656"/>
    </row>
    <row r="903" spans="9:11" ht="12.75">
      <c r="I903" s="656"/>
      <c r="J903" s="656"/>
      <c r="K903" s="656"/>
    </row>
    <row r="904" spans="9:11" ht="12.75">
      <c r="I904" s="656"/>
      <c r="J904" s="656"/>
      <c r="K904" s="656"/>
    </row>
    <row r="905" spans="9:11" ht="12.75">
      <c r="I905" s="656"/>
      <c r="J905" s="656"/>
      <c r="K905" s="656"/>
    </row>
    <row r="906" spans="9:11" ht="12.75">
      <c r="I906" s="656"/>
      <c r="J906" s="656"/>
      <c r="K906" s="656"/>
    </row>
    <row r="907" spans="9:11" ht="12.75">
      <c r="I907" s="656"/>
      <c r="J907" s="656"/>
      <c r="K907" s="656"/>
    </row>
    <row r="908" spans="9:11" ht="12.75">
      <c r="I908" s="656"/>
      <c r="J908" s="656"/>
      <c r="K908" s="656"/>
    </row>
    <row r="909" spans="9:11" ht="12.75">
      <c r="I909" s="656"/>
      <c r="J909" s="656"/>
      <c r="K909" s="656"/>
    </row>
    <row r="910" spans="9:11" ht="12.75">
      <c r="I910" s="656"/>
      <c r="J910" s="656"/>
      <c r="K910" s="656"/>
    </row>
    <row r="911" spans="9:11" ht="12.75">
      <c r="I911" s="656"/>
      <c r="J911" s="656"/>
      <c r="K911" s="656"/>
    </row>
    <row r="912" spans="9:11" ht="12.75">
      <c r="I912" s="656"/>
      <c r="J912" s="656"/>
      <c r="K912" s="656"/>
    </row>
    <row r="913" spans="9:11" ht="12.75">
      <c r="I913" s="656"/>
      <c r="J913" s="656"/>
      <c r="K913" s="656"/>
    </row>
    <row r="914" spans="9:11" ht="12.75">
      <c r="I914" s="656"/>
      <c r="J914" s="656"/>
      <c r="K914" s="656"/>
    </row>
    <row r="915" spans="9:11" ht="12.75">
      <c r="I915" s="656"/>
      <c r="J915" s="656"/>
      <c r="K915" s="656"/>
    </row>
    <row r="916" spans="9:11" ht="12.75">
      <c r="I916" s="656"/>
      <c r="J916" s="656"/>
      <c r="K916" s="656"/>
    </row>
    <row r="917" spans="9:11" ht="12.75">
      <c r="I917" s="656"/>
      <c r="J917" s="656"/>
      <c r="K917" s="656"/>
    </row>
    <row r="918" spans="9:11" ht="12.75">
      <c r="I918" s="656"/>
      <c r="J918" s="656"/>
      <c r="K918" s="656"/>
    </row>
    <row r="919" spans="9:11" ht="12.75">
      <c r="I919" s="656"/>
      <c r="J919" s="656"/>
      <c r="K919" s="656"/>
    </row>
    <row r="920" spans="9:11" ht="12.75">
      <c r="I920" s="656"/>
      <c r="J920" s="656"/>
      <c r="K920" s="656"/>
    </row>
    <row r="921" spans="9:11" ht="12.75">
      <c r="I921" s="656"/>
      <c r="J921" s="656"/>
      <c r="K921" s="656"/>
    </row>
    <row r="922" spans="9:11" ht="12.75">
      <c r="I922" s="656"/>
      <c r="J922" s="656"/>
      <c r="K922" s="656"/>
    </row>
    <row r="923" spans="9:11" ht="12.75">
      <c r="I923" s="656"/>
      <c r="J923" s="656"/>
      <c r="K923" s="656"/>
    </row>
    <row r="924" spans="9:11" ht="12.75">
      <c r="I924" s="656"/>
      <c r="J924" s="656"/>
      <c r="K924" s="656"/>
    </row>
    <row r="925" spans="9:11" ht="12.75">
      <c r="I925" s="656"/>
      <c r="J925" s="656"/>
      <c r="K925" s="656"/>
    </row>
    <row r="926" spans="9:11" ht="12.75">
      <c r="I926" s="656"/>
      <c r="J926" s="656"/>
      <c r="K926" s="656"/>
    </row>
    <row r="927" spans="9:11" ht="12.75">
      <c r="I927" s="656"/>
      <c r="J927" s="656"/>
      <c r="K927" s="656"/>
    </row>
    <row r="928" spans="9:11" ht="12.75">
      <c r="I928" s="656"/>
      <c r="J928" s="656"/>
      <c r="K928" s="656"/>
    </row>
    <row r="929" spans="9:11" ht="12.75">
      <c r="I929" s="656"/>
      <c r="J929" s="656"/>
      <c r="K929" s="656"/>
    </row>
    <row r="930" spans="9:11" ht="12.75">
      <c r="I930" s="656"/>
      <c r="J930" s="656"/>
      <c r="K930" s="656"/>
    </row>
    <row r="931" spans="9:11" ht="12.75">
      <c r="I931" s="656"/>
      <c r="J931" s="656"/>
      <c r="K931" s="656"/>
    </row>
    <row r="932" spans="9:11" ht="12.75">
      <c r="I932" s="656"/>
      <c r="J932" s="656"/>
      <c r="K932" s="656"/>
    </row>
    <row r="933" spans="9:11" ht="12.75">
      <c r="I933" s="656"/>
      <c r="J933" s="656"/>
      <c r="K933" s="656"/>
    </row>
    <row r="934" spans="9:11" ht="12.75">
      <c r="I934" s="656"/>
      <c r="J934" s="656"/>
      <c r="K934" s="656"/>
    </row>
    <row r="935" spans="9:11" ht="12.75">
      <c r="I935" s="656"/>
      <c r="J935" s="656"/>
      <c r="K935" s="656"/>
    </row>
    <row r="936" spans="9:11" ht="12.75">
      <c r="I936" s="656"/>
      <c r="J936" s="656"/>
      <c r="K936" s="656"/>
    </row>
    <row r="937" spans="9:11" ht="12.75">
      <c r="I937" s="656"/>
      <c r="J937" s="656"/>
      <c r="K937" s="656"/>
    </row>
    <row r="938" spans="9:11" ht="12.75">
      <c r="I938" s="656"/>
      <c r="J938" s="656"/>
      <c r="K938" s="656"/>
    </row>
    <row r="939" spans="9:11" ht="12.75">
      <c r="I939" s="656"/>
      <c r="J939" s="656"/>
      <c r="K939" s="656"/>
    </row>
    <row r="940" spans="9:11" ht="12.75">
      <c r="I940" s="656"/>
      <c r="J940" s="656"/>
      <c r="K940" s="656"/>
    </row>
    <row r="941" spans="9:11" ht="12.75">
      <c r="I941" s="656"/>
      <c r="J941" s="656"/>
      <c r="K941" s="656"/>
    </row>
    <row r="942" spans="9:11" ht="12.75">
      <c r="I942" s="656"/>
      <c r="J942" s="656"/>
      <c r="K942" s="656"/>
    </row>
    <row r="943" spans="9:11" ht="12.75">
      <c r="I943" s="656"/>
      <c r="J943" s="656"/>
      <c r="K943" s="656"/>
    </row>
    <row r="944" spans="9:11" ht="12.75">
      <c r="I944" s="656"/>
      <c r="J944" s="656"/>
      <c r="K944" s="656"/>
    </row>
    <row r="945" spans="9:11" ht="12.75">
      <c r="I945" s="656"/>
      <c r="J945" s="656"/>
      <c r="K945" s="656"/>
    </row>
    <row r="946" spans="9:11" ht="12.75">
      <c r="I946" s="656"/>
      <c r="J946" s="656"/>
      <c r="K946" s="656"/>
    </row>
    <row r="947" spans="9:11" ht="12.75">
      <c r="I947" s="656"/>
      <c r="J947" s="656"/>
      <c r="K947" s="656"/>
    </row>
    <row r="948" spans="9:11" ht="12.75">
      <c r="I948" s="656"/>
      <c r="J948" s="656"/>
      <c r="K948" s="656"/>
    </row>
    <row r="949" spans="9:11" ht="12.75">
      <c r="I949" s="656"/>
      <c r="J949" s="656"/>
      <c r="K949" s="656"/>
    </row>
    <row r="950" spans="9:11" ht="12.75">
      <c r="I950" s="656"/>
      <c r="J950" s="656"/>
      <c r="K950" s="656"/>
    </row>
    <row r="951" spans="9:11" ht="12.75">
      <c r="I951" s="656"/>
      <c r="J951" s="656"/>
      <c r="K951" s="656"/>
    </row>
    <row r="952" spans="9:11" ht="12.75">
      <c r="I952" s="656"/>
      <c r="J952" s="656"/>
      <c r="K952" s="656"/>
    </row>
    <row r="953" spans="9:11" ht="12.75">
      <c r="I953" s="656"/>
      <c r="J953" s="656"/>
      <c r="K953" s="656"/>
    </row>
    <row r="954" spans="9:11" ht="12.75">
      <c r="I954" s="656"/>
      <c r="J954" s="656"/>
      <c r="K954" s="656"/>
    </row>
    <row r="955" spans="9:11" ht="12.75">
      <c r="I955" s="656"/>
      <c r="J955" s="656"/>
      <c r="K955" s="656"/>
    </row>
    <row r="956" spans="9:11" ht="12.75">
      <c r="I956" s="656"/>
      <c r="J956" s="656"/>
      <c r="K956" s="656"/>
    </row>
    <row r="957" spans="9:11" ht="12.75">
      <c r="I957" s="656"/>
      <c r="J957" s="656"/>
      <c r="K957" s="656"/>
    </row>
    <row r="958" spans="9:11" ht="12.75">
      <c r="I958" s="656"/>
      <c r="J958" s="656"/>
      <c r="K958" s="656"/>
    </row>
    <row r="959" spans="9:11" ht="12.75">
      <c r="I959" s="656"/>
      <c r="J959" s="656"/>
      <c r="K959" s="656"/>
    </row>
    <row r="960" spans="9:11" ht="12.75">
      <c r="I960" s="656"/>
      <c r="J960" s="656"/>
      <c r="K960" s="656"/>
    </row>
    <row r="961" spans="9:11" ht="12.75">
      <c r="I961" s="656"/>
      <c r="J961" s="656"/>
      <c r="K961" s="656"/>
    </row>
    <row r="962" spans="9:11" ht="12.75">
      <c r="I962" s="656"/>
      <c r="J962" s="656"/>
      <c r="K962" s="656"/>
    </row>
    <row r="963" spans="9:11" ht="12.75">
      <c r="I963" s="656"/>
      <c r="J963" s="656"/>
      <c r="K963" s="656"/>
    </row>
    <row r="964" spans="9:11" ht="12.75">
      <c r="I964" s="656"/>
      <c r="J964" s="656"/>
      <c r="K964" s="656"/>
    </row>
    <row r="965" spans="9:11" ht="12.75">
      <c r="I965" s="656"/>
      <c r="J965" s="656"/>
      <c r="K965" s="656"/>
    </row>
    <row r="966" spans="9:11" ht="12.75">
      <c r="I966" s="656"/>
      <c r="J966" s="656"/>
      <c r="K966" s="656"/>
    </row>
    <row r="967" spans="9:11" ht="12.75">
      <c r="I967" s="656"/>
      <c r="J967" s="656"/>
      <c r="K967" s="656"/>
    </row>
    <row r="968" spans="9:11" ht="12.75">
      <c r="I968" s="656"/>
      <c r="J968" s="656"/>
      <c r="K968" s="656"/>
    </row>
    <row r="969" spans="9:11" ht="12.75">
      <c r="I969" s="656"/>
      <c r="J969" s="656"/>
      <c r="K969" s="656"/>
    </row>
    <row r="970" spans="9:11" ht="12.75">
      <c r="I970" s="656"/>
      <c r="J970" s="656"/>
      <c r="K970" s="656"/>
    </row>
    <row r="971" spans="9:11" ht="12.75">
      <c r="I971" s="656"/>
      <c r="J971" s="656"/>
      <c r="K971" s="656"/>
    </row>
    <row r="972" spans="9:11" ht="12.75">
      <c r="I972" s="656"/>
      <c r="J972" s="656"/>
      <c r="K972" s="656"/>
    </row>
    <row r="973" spans="9:11" ht="12.75">
      <c r="I973" s="656"/>
      <c r="J973" s="656"/>
      <c r="K973" s="656"/>
    </row>
    <row r="974" spans="9:11" ht="12.75">
      <c r="I974" s="656"/>
      <c r="J974" s="656"/>
      <c r="K974" s="656"/>
    </row>
    <row r="975" spans="9:11" ht="12.75">
      <c r="I975" s="656"/>
      <c r="J975" s="656"/>
      <c r="K975" s="656"/>
    </row>
    <row r="976" spans="9:11" ht="12.75">
      <c r="I976" s="656"/>
      <c r="J976" s="656"/>
      <c r="K976" s="656"/>
    </row>
    <row r="977" spans="9:11" ht="12.75">
      <c r="I977" s="656"/>
      <c r="J977" s="656"/>
      <c r="K977" s="656"/>
    </row>
    <row r="978" spans="9:11" ht="12.75">
      <c r="I978" s="656"/>
      <c r="J978" s="656"/>
      <c r="K978" s="656"/>
    </row>
    <row r="979" spans="9:11" ht="12.75">
      <c r="I979" s="656"/>
      <c r="J979" s="656"/>
      <c r="K979" s="656"/>
    </row>
    <row r="980" spans="9:11" ht="12.75">
      <c r="I980" s="656"/>
      <c r="J980" s="656"/>
      <c r="K980" s="656"/>
    </row>
    <row r="981" spans="9:11" ht="12.75">
      <c r="I981" s="656"/>
      <c r="J981" s="656"/>
      <c r="K981" s="656"/>
    </row>
    <row r="982" spans="9:11" ht="12.75">
      <c r="I982" s="656"/>
      <c r="J982" s="656"/>
      <c r="K982" s="656"/>
    </row>
    <row r="983" spans="9:11" ht="12.75">
      <c r="I983" s="656"/>
      <c r="J983" s="656"/>
      <c r="K983" s="656"/>
    </row>
    <row r="984" spans="9:11" ht="12.75">
      <c r="I984" s="656"/>
      <c r="J984" s="656"/>
      <c r="K984" s="656"/>
    </row>
    <row r="985" spans="9:11" ht="12.75">
      <c r="I985" s="656"/>
      <c r="J985" s="656"/>
      <c r="K985" s="656"/>
    </row>
    <row r="986" spans="9:11" ht="12.75">
      <c r="I986" s="656"/>
      <c r="J986" s="656"/>
      <c r="K986" s="656"/>
    </row>
    <row r="987" spans="9:11" ht="12.75">
      <c r="I987" s="656"/>
      <c r="J987" s="656"/>
      <c r="K987" s="656"/>
    </row>
    <row r="988" spans="9:11" ht="12.75">
      <c r="I988" s="656"/>
      <c r="J988" s="656"/>
      <c r="K988" s="656"/>
    </row>
    <row r="989" spans="9:11" ht="12.75">
      <c r="I989" s="656"/>
      <c r="J989" s="656"/>
      <c r="K989" s="656"/>
    </row>
    <row r="990" spans="9:11" ht="12.75">
      <c r="I990" s="656"/>
      <c r="J990" s="656"/>
      <c r="K990" s="656"/>
    </row>
    <row r="991" spans="9:11" ht="12.75">
      <c r="I991" s="656"/>
      <c r="J991" s="656"/>
      <c r="K991" s="656"/>
    </row>
    <row r="992" spans="9:11" ht="12.75">
      <c r="I992" s="656"/>
      <c r="J992" s="656"/>
      <c r="K992" s="656"/>
    </row>
    <row r="993" spans="9:11" ht="12.75">
      <c r="I993" s="656"/>
      <c r="J993" s="656"/>
      <c r="K993" s="656"/>
    </row>
    <row r="994" spans="9:11" ht="12.75">
      <c r="I994" s="656"/>
      <c r="J994" s="656"/>
      <c r="K994" s="656"/>
    </row>
    <row r="995" spans="9:11" ht="12.75">
      <c r="I995" s="656"/>
      <c r="J995" s="656"/>
      <c r="K995" s="656"/>
    </row>
    <row r="996" spans="9:11" ht="12.75">
      <c r="I996" s="656"/>
      <c r="J996" s="656"/>
      <c r="K996" s="656"/>
    </row>
    <row r="997" spans="9:11" ht="12.75">
      <c r="I997" s="656"/>
      <c r="J997" s="656"/>
      <c r="K997" s="656"/>
    </row>
    <row r="998" spans="9:11" ht="12.75">
      <c r="I998" s="656"/>
      <c r="J998" s="656"/>
      <c r="K998" s="656"/>
    </row>
    <row r="999" spans="9:11" ht="12.75">
      <c r="I999" s="656"/>
      <c r="J999" s="656"/>
      <c r="K999" s="656"/>
    </row>
    <row r="1000" spans="9:11" ht="12.75">
      <c r="I1000" s="656"/>
      <c r="J1000" s="656"/>
      <c r="K1000" s="656"/>
    </row>
  </sheetData>
  <phoneticPr fontId="8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B1:S30"/>
  <sheetViews>
    <sheetView workbookViewId="0"/>
  </sheetViews>
  <sheetFormatPr defaultColWidth="14.42578125" defaultRowHeight="15.75" customHeight="1"/>
  <cols>
    <col min="1" max="1" width="4.42578125" customWidth="1"/>
    <col min="2" max="2" width="7.42578125" customWidth="1"/>
    <col min="3" max="3" width="49.7109375" customWidth="1"/>
  </cols>
  <sheetData>
    <row r="1" spans="2:19" ht="15.75" customHeight="1"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</row>
    <row r="2" spans="2:19" ht="15.75" customHeight="1">
      <c r="B2" s="678" t="s">
        <v>418</v>
      </c>
      <c r="C2" s="678" t="s">
        <v>419</v>
      </c>
      <c r="D2" s="678" t="s">
        <v>420</v>
      </c>
      <c r="E2" s="679" t="s">
        <v>421</v>
      </c>
      <c r="F2" s="679" t="s">
        <v>422</v>
      </c>
      <c r="G2" s="679" t="s">
        <v>423</v>
      </c>
      <c r="H2" s="679" t="s">
        <v>424</v>
      </c>
      <c r="I2" s="679" t="s">
        <v>425</v>
      </c>
      <c r="J2" s="679" t="s">
        <v>426</v>
      </c>
      <c r="K2" s="679" t="s">
        <v>427</v>
      </c>
      <c r="L2" s="679" t="s">
        <v>428</v>
      </c>
      <c r="M2" s="679" t="s">
        <v>424</v>
      </c>
      <c r="N2" s="679" t="s">
        <v>426</v>
      </c>
      <c r="O2" s="679" t="s">
        <v>429</v>
      </c>
      <c r="P2" s="679" t="s">
        <v>430</v>
      </c>
      <c r="Q2" s="679" t="s">
        <v>431</v>
      </c>
      <c r="R2" s="679" t="s">
        <v>424</v>
      </c>
      <c r="S2" s="679" t="s">
        <v>432</v>
      </c>
    </row>
    <row r="3" spans="2:19" ht="15.75" customHeight="1">
      <c r="B3" s="680">
        <v>645380</v>
      </c>
      <c r="C3" s="680" t="s">
        <v>433</v>
      </c>
      <c r="D3" s="680">
        <v>12</v>
      </c>
      <c r="E3" s="681">
        <v>0</v>
      </c>
      <c r="F3" s="682">
        <v>1</v>
      </c>
      <c r="G3" s="682">
        <v>0</v>
      </c>
      <c r="H3" s="683">
        <f t="shared" ref="H3:H29" si="0">E3+F3-G3</f>
        <v>1</v>
      </c>
      <c r="I3" s="681">
        <v>1</v>
      </c>
      <c r="J3" s="682">
        <f t="shared" ref="J3:J29" si="1">I3-H3</f>
        <v>0</v>
      </c>
      <c r="K3" s="682"/>
      <c r="L3" s="682">
        <v>6</v>
      </c>
      <c r="M3" s="683">
        <f t="shared" ref="M3:M29" si="2">I3+K3-L3</f>
        <v>-5</v>
      </c>
      <c r="N3" s="681"/>
      <c r="O3" s="681">
        <v>0</v>
      </c>
      <c r="P3" s="682">
        <v>288</v>
      </c>
      <c r="Q3" s="684">
        <v>40.166666666666664</v>
      </c>
      <c r="R3" s="683">
        <f t="shared" ref="R3:R29" si="3">O3+P3-Q3</f>
        <v>247.83333333333334</v>
      </c>
      <c r="S3" s="681">
        <v>238</v>
      </c>
    </row>
    <row r="4" spans="2:19" ht="15.75" customHeight="1">
      <c r="B4" s="680">
        <v>677200</v>
      </c>
      <c r="C4" s="680" t="s">
        <v>434</v>
      </c>
      <c r="D4" s="680">
        <v>4</v>
      </c>
      <c r="E4" s="681">
        <v>9422</v>
      </c>
      <c r="F4" s="682"/>
      <c r="G4" s="682">
        <v>2660</v>
      </c>
      <c r="H4" s="683">
        <f t="shared" si="0"/>
        <v>6762</v>
      </c>
      <c r="I4" s="681">
        <v>6899</v>
      </c>
      <c r="J4" s="682">
        <f t="shared" si="1"/>
        <v>137</v>
      </c>
      <c r="K4" s="682">
        <v>7584</v>
      </c>
      <c r="L4" s="682">
        <v>2876</v>
      </c>
      <c r="M4" s="683">
        <f t="shared" si="2"/>
        <v>11607</v>
      </c>
      <c r="N4" s="681"/>
      <c r="O4" s="681">
        <v>11148</v>
      </c>
      <c r="P4" s="682">
        <v>5396</v>
      </c>
      <c r="Q4" s="682">
        <v>2604</v>
      </c>
      <c r="R4" s="683">
        <f t="shared" si="3"/>
        <v>13940</v>
      </c>
      <c r="S4" s="681">
        <v>13255</v>
      </c>
    </row>
    <row r="5" spans="2:19" ht="15.75" customHeight="1">
      <c r="B5" s="680">
        <v>677211</v>
      </c>
      <c r="C5" s="680" t="s">
        <v>435</v>
      </c>
      <c r="D5" s="680">
        <v>4</v>
      </c>
      <c r="E5" s="681">
        <v>8939</v>
      </c>
      <c r="F5" s="682"/>
      <c r="G5" s="682">
        <v>5444</v>
      </c>
      <c r="H5" s="683">
        <f t="shared" si="0"/>
        <v>3495</v>
      </c>
      <c r="I5" s="681">
        <v>3361</v>
      </c>
      <c r="J5" s="682">
        <f t="shared" si="1"/>
        <v>-134</v>
      </c>
      <c r="K5" s="682">
        <v>15143</v>
      </c>
      <c r="L5" s="682">
        <v>6024</v>
      </c>
      <c r="M5" s="683">
        <f t="shared" si="2"/>
        <v>12480</v>
      </c>
      <c r="N5" s="681"/>
      <c r="O5" s="681">
        <v>12354</v>
      </c>
      <c r="P5" s="682">
        <v>5390</v>
      </c>
      <c r="Q5" s="682">
        <v>5202</v>
      </c>
      <c r="R5" s="683">
        <f t="shared" si="3"/>
        <v>12542</v>
      </c>
      <c r="S5" s="681">
        <v>11669</v>
      </c>
    </row>
    <row r="6" spans="2:19" ht="15.75" customHeight="1">
      <c r="B6" s="680">
        <v>677281</v>
      </c>
      <c r="C6" s="680" t="s">
        <v>436</v>
      </c>
      <c r="D6" s="680">
        <v>4</v>
      </c>
      <c r="E6" s="681">
        <v>5121</v>
      </c>
      <c r="F6" s="682"/>
      <c r="G6" s="682">
        <v>793</v>
      </c>
      <c r="H6" s="683">
        <f t="shared" si="0"/>
        <v>4328</v>
      </c>
      <c r="I6" s="681">
        <v>4313</v>
      </c>
      <c r="J6" s="682">
        <f t="shared" si="1"/>
        <v>-15</v>
      </c>
      <c r="K6" s="682">
        <v>58</v>
      </c>
      <c r="L6" s="682">
        <v>812</v>
      </c>
      <c r="M6" s="683">
        <f t="shared" si="2"/>
        <v>3559</v>
      </c>
      <c r="N6" s="681"/>
      <c r="O6" s="681">
        <v>3436</v>
      </c>
      <c r="P6" s="682">
        <v>2672</v>
      </c>
      <c r="Q6" s="682">
        <v>621</v>
      </c>
      <c r="R6" s="683">
        <f t="shared" si="3"/>
        <v>5487</v>
      </c>
      <c r="S6" s="681">
        <v>4965</v>
      </c>
    </row>
    <row r="7" spans="2:19" ht="15.75" customHeight="1">
      <c r="B7" s="680">
        <v>676366</v>
      </c>
      <c r="C7" s="680" t="s">
        <v>437</v>
      </c>
      <c r="D7" s="680">
        <v>4</v>
      </c>
      <c r="E7" s="681">
        <v>5788</v>
      </c>
      <c r="F7" s="682">
        <v>1872</v>
      </c>
      <c r="G7" s="682">
        <v>2635</v>
      </c>
      <c r="H7" s="683">
        <f t="shared" si="0"/>
        <v>5025</v>
      </c>
      <c r="I7" s="681">
        <v>4918</v>
      </c>
      <c r="J7" s="682">
        <f t="shared" si="1"/>
        <v>-107</v>
      </c>
      <c r="K7" s="682">
        <v>2880</v>
      </c>
      <c r="L7" s="682">
        <v>2716</v>
      </c>
      <c r="M7" s="683">
        <f t="shared" si="2"/>
        <v>5082</v>
      </c>
      <c r="N7" s="681"/>
      <c r="O7" s="681">
        <v>4171</v>
      </c>
      <c r="P7" s="682"/>
      <c r="Q7" s="682">
        <v>1894</v>
      </c>
      <c r="R7" s="683">
        <f t="shared" si="3"/>
        <v>2277</v>
      </c>
      <c r="S7" s="681">
        <v>2498</v>
      </c>
    </row>
    <row r="8" spans="2:19" ht="15.75" customHeight="1">
      <c r="B8" s="680">
        <v>676367</v>
      </c>
      <c r="C8" s="680" t="s">
        <v>438</v>
      </c>
      <c r="D8" s="680">
        <v>4</v>
      </c>
      <c r="E8" s="681">
        <v>8725</v>
      </c>
      <c r="F8" s="682">
        <v>1563</v>
      </c>
      <c r="G8" s="682">
        <v>1685</v>
      </c>
      <c r="H8" s="683">
        <f t="shared" si="0"/>
        <v>8603</v>
      </c>
      <c r="I8" s="681">
        <v>8495</v>
      </c>
      <c r="J8" s="682">
        <f t="shared" si="1"/>
        <v>-108</v>
      </c>
      <c r="K8" s="682">
        <v>288</v>
      </c>
      <c r="L8" s="682">
        <v>1662</v>
      </c>
      <c r="M8" s="683">
        <f t="shared" si="2"/>
        <v>7121</v>
      </c>
      <c r="N8" s="681"/>
      <c r="O8" s="681">
        <v>6173</v>
      </c>
      <c r="P8" s="682"/>
      <c r="Q8" s="682">
        <v>519</v>
      </c>
      <c r="R8" s="683">
        <f t="shared" si="3"/>
        <v>5654</v>
      </c>
      <c r="S8" s="681">
        <v>5680</v>
      </c>
    </row>
    <row r="9" spans="2:19" ht="15.75" customHeight="1">
      <c r="B9" s="680">
        <v>676369</v>
      </c>
      <c r="C9" s="680" t="s">
        <v>439</v>
      </c>
      <c r="D9" s="680">
        <v>4</v>
      </c>
      <c r="E9" s="681">
        <v>4985</v>
      </c>
      <c r="F9" s="682"/>
      <c r="G9" s="682">
        <v>488</v>
      </c>
      <c r="H9" s="683">
        <f t="shared" si="0"/>
        <v>4497</v>
      </c>
      <c r="I9" s="681">
        <v>4479</v>
      </c>
      <c r="J9" s="682">
        <f t="shared" si="1"/>
        <v>-18</v>
      </c>
      <c r="K9" s="682"/>
      <c r="L9" s="682">
        <v>473</v>
      </c>
      <c r="M9" s="683">
        <f t="shared" si="2"/>
        <v>4006</v>
      </c>
      <c r="N9" s="681"/>
      <c r="O9" s="681">
        <v>3561</v>
      </c>
      <c r="P9" s="682"/>
      <c r="Q9" s="682">
        <v>451</v>
      </c>
      <c r="R9" s="683">
        <f t="shared" si="3"/>
        <v>3110</v>
      </c>
      <c r="S9" s="681">
        <v>3137</v>
      </c>
    </row>
    <row r="10" spans="2:19" ht="15.75" customHeight="1">
      <c r="B10" s="680">
        <v>702466</v>
      </c>
      <c r="C10" s="680" t="s">
        <v>440</v>
      </c>
      <c r="D10" s="680">
        <v>12</v>
      </c>
      <c r="E10" s="681">
        <v>0</v>
      </c>
      <c r="F10" s="682">
        <v>576</v>
      </c>
      <c r="G10" s="682"/>
      <c r="H10" s="683">
        <f t="shared" si="0"/>
        <v>576</v>
      </c>
      <c r="I10" s="681">
        <v>576</v>
      </c>
      <c r="J10" s="682">
        <f t="shared" si="1"/>
        <v>0</v>
      </c>
      <c r="K10" s="682"/>
      <c r="L10" s="682">
        <v>9</v>
      </c>
      <c r="M10" s="683">
        <f t="shared" si="2"/>
        <v>567</v>
      </c>
      <c r="N10" s="681"/>
      <c r="O10" s="681">
        <v>553</v>
      </c>
      <c r="P10" s="682">
        <v>434</v>
      </c>
      <c r="Q10" s="682">
        <v>5</v>
      </c>
      <c r="R10" s="683">
        <f t="shared" si="3"/>
        <v>982</v>
      </c>
      <c r="S10" s="681">
        <v>976</v>
      </c>
    </row>
    <row r="11" spans="2:19" ht="15.75" customHeight="1">
      <c r="B11" s="680">
        <v>691217</v>
      </c>
      <c r="C11" s="680" t="s">
        <v>441</v>
      </c>
      <c r="D11" s="680">
        <v>12</v>
      </c>
      <c r="E11" s="681">
        <v>0</v>
      </c>
      <c r="F11" s="682"/>
      <c r="G11" s="682"/>
      <c r="H11" s="683">
        <f t="shared" si="0"/>
        <v>0</v>
      </c>
      <c r="I11" s="681">
        <v>1</v>
      </c>
      <c r="J11" s="682">
        <f t="shared" si="1"/>
        <v>1</v>
      </c>
      <c r="K11" s="682"/>
      <c r="L11" s="682">
        <v>0</v>
      </c>
      <c r="M11" s="683">
        <f t="shared" si="2"/>
        <v>1</v>
      </c>
      <c r="N11" s="681"/>
      <c r="O11" s="681">
        <v>0</v>
      </c>
      <c r="P11" s="682"/>
      <c r="Q11" s="682">
        <v>0</v>
      </c>
      <c r="R11" s="683">
        <f t="shared" si="3"/>
        <v>0</v>
      </c>
      <c r="S11" s="681">
        <v>0</v>
      </c>
    </row>
    <row r="12" spans="2:19" ht="15.75" customHeight="1">
      <c r="B12" s="680">
        <v>117547</v>
      </c>
      <c r="C12" s="680" t="s">
        <v>442</v>
      </c>
      <c r="D12" s="680">
        <v>6</v>
      </c>
      <c r="E12" s="681">
        <v>0</v>
      </c>
      <c r="F12" s="682">
        <v>4</v>
      </c>
      <c r="G12" s="682"/>
      <c r="H12" s="683">
        <f t="shared" si="0"/>
        <v>4</v>
      </c>
      <c r="I12" s="681">
        <v>4</v>
      </c>
      <c r="J12" s="682">
        <f t="shared" si="1"/>
        <v>0</v>
      </c>
      <c r="K12" s="682"/>
      <c r="L12" s="682">
        <v>14</v>
      </c>
      <c r="M12" s="683">
        <f t="shared" si="2"/>
        <v>-10</v>
      </c>
      <c r="N12" s="681"/>
      <c r="O12" s="681">
        <v>0</v>
      </c>
      <c r="P12" s="682">
        <v>124</v>
      </c>
      <c r="Q12" s="682">
        <v>17</v>
      </c>
      <c r="R12" s="683">
        <f t="shared" si="3"/>
        <v>107</v>
      </c>
      <c r="S12" s="681">
        <v>106</v>
      </c>
    </row>
    <row r="13" spans="2:19" ht="15.75" customHeight="1">
      <c r="B13" s="680">
        <v>580732</v>
      </c>
      <c r="C13" s="680" t="s">
        <v>443</v>
      </c>
      <c r="D13" s="680">
        <v>12</v>
      </c>
      <c r="E13" s="681">
        <v>0</v>
      </c>
      <c r="F13" s="682">
        <v>1</v>
      </c>
      <c r="G13" s="682"/>
      <c r="H13" s="683">
        <f t="shared" si="0"/>
        <v>1</v>
      </c>
      <c r="I13" s="681">
        <v>0</v>
      </c>
      <c r="J13" s="682">
        <f t="shared" si="1"/>
        <v>-1</v>
      </c>
      <c r="K13" s="682"/>
      <c r="L13" s="682">
        <v>1</v>
      </c>
      <c r="M13" s="683">
        <f t="shared" si="2"/>
        <v>-1</v>
      </c>
      <c r="N13" s="681"/>
      <c r="O13" s="681">
        <v>0</v>
      </c>
      <c r="P13" s="682">
        <v>1</v>
      </c>
      <c r="Q13" s="682">
        <v>1</v>
      </c>
      <c r="R13" s="683">
        <f t="shared" si="3"/>
        <v>0</v>
      </c>
      <c r="S13" s="681">
        <v>0</v>
      </c>
    </row>
    <row r="14" spans="2:19" ht="15.75" customHeight="1">
      <c r="B14" s="680">
        <v>611174</v>
      </c>
      <c r="C14" s="680" t="s">
        <v>444</v>
      </c>
      <c r="D14" s="680">
        <v>12</v>
      </c>
      <c r="E14" s="681">
        <v>0</v>
      </c>
      <c r="F14" s="682"/>
      <c r="G14" s="682"/>
      <c r="H14" s="683">
        <f t="shared" si="0"/>
        <v>0</v>
      </c>
      <c r="I14" s="681">
        <v>0</v>
      </c>
      <c r="J14" s="682">
        <f t="shared" si="1"/>
        <v>0</v>
      </c>
      <c r="K14" s="682"/>
      <c r="L14" s="682">
        <v>0</v>
      </c>
      <c r="M14" s="683">
        <f t="shared" si="2"/>
        <v>0</v>
      </c>
      <c r="N14" s="681"/>
      <c r="O14" s="681">
        <v>0</v>
      </c>
      <c r="P14" s="682"/>
      <c r="Q14" s="682">
        <v>0</v>
      </c>
      <c r="R14" s="683">
        <f t="shared" si="3"/>
        <v>0</v>
      </c>
      <c r="S14" s="681">
        <v>0</v>
      </c>
    </row>
    <row r="15" spans="2:19" ht="15.75" customHeight="1">
      <c r="B15" s="680">
        <v>653748</v>
      </c>
      <c r="C15" s="680" t="s">
        <v>445</v>
      </c>
      <c r="D15" s="680">
        <v>6</v>
      </c>
      <c r="E15" s="681">
        <v>0</v>
      </c>
      <c r="F15" s="682">
        <v>16</v>
      </c>
      <c r="G15" s="682"/>
      <c r="H15" s="683">
        <f t="shared" si="0"/>
        <v>16</v>
      </c>
      <c r="I15" s="681">
        <v>0</v>
      </c>
      <c r="J15" s="682">
        <f t="shared" si="1"/>
        <v>-16</v>
      </c>
      <c r="K15" s="682"/>
      <c r="L15" s="682">
        <v>13</v>
      </c>
      <c r="M15" s="683">
        <f t="shared" si="2"/>
        <v>-13</v>
      </c>
      <c r="N15" s="681"/>
      <c r="O15" s="681">
        <v>3</v>
      </c>
      <c r="P15" s="682"/>
      <c r="Q15" s="682">
        <v>0</v>
      </c>
      <c r="R15" s="683">
        <f t="shared" si="3"/>
        <v>3</v>
      </c>
      <c r="S15" s="681">
        <v>3</v>
      </c>
    </row>
    <row r="16" spans="2:19" ht="15.75" customHeight="1">
      <c r="B16" s="680">
        <v>695413</v>
      </c>
      <c r="C16" s="680" t="s">
        <v>446</v>
      </c>
      <c r="D16" s="680">
        <v>6</v>
      </c>
      <c r="E16" s="681">
        <v>0</v>
      </c>
      <c r="F16" s="682">
        <v>17</v>
      </c>
      <c r="G16" s="682"/>
      <c r="H16" s="683">
        <f t="shared" si="0"/>
        <v>17</v>
      </c>
      <c r="I16" s="681">
        <v>17</v>
      </c>
      <c r="J16" s="682">
        <f t="shared" si="1"/>
        <v>0</v>
      </c>
      <c r="K16" s="682"/>
      <c r="L16" s="682">
        <v>15</v>
      </c>
      <c r="M16" s="683">
        <f t="shared" si="2"/>
        <v>2</v>
      </c>
      <c r="N16" s="681"/>
      <c r="O16" s="681">
        <v>2</v>
      </c>
      <c r="P16" s="682">
        <v>40</v>
      </c>
      <c r="Q16" s="682">
        <v>10</v>
      </c>
      <c r="R16" s="683">
        <f t="shared" si="3"/>
        <v>32</v>
      </c>
      <c r="S16" s="681">
        <v>32</v>
      </c>
    </row>
    <row r="17" spans="2:19" ht="15.75" customHeight="1">
      <c r="B17" s="680">
        <v>699883</v>
      </c>
      <c r="C17" s="680" t="s">
        <v>445</v>
      </c>
      <c r="D17" s="680">
        <v>6</v>
      </c>
      <c r="E17" s="681">
        <v>0</v>
      </c>
      <c r="F17" s="682"/>
      <c r="G17" s="682"/>
      <c r="H17" s="683">
        <f t="shared" si="0"/>
        <v>0</v>
      </c>
      <c r="I17" s="681">
        <v>16</v>
      </c>
      <c r="J17" s="682">
        <f t="shared" si="1"/>
        <v>16</v>
      </c>
      <c r="K17" s="682"/>
      <c r="L17" s="682">
        <v>0</v>
      </c>
      <c r="M17" s="683">
        <f t="shared" si="2"/>
        <v>16</v>
      </c>
      <c r="N17" s="681"/>
      <c r="O17" s="681">
        <v>0</v>
      </c>
      <c r="P17" s="682">
        <v>22</v>
      </c>
      <c r="Q17" s="682">
        <v>0</v>
      </c>
      <c r="R17" s="683">
        <f t="shared" si="3"/>
        <v>22</v>
      </c>
      <c r="S17" s="681">
        <v>22</v>
      </c>
    </row>
    <row r="18" spans="2:19" ht="15.75" customHeight="1">
      <c r="B18" s="680">
        <v>116180</v>
      </c>
      <c r="C18" s="680" t="s">
        <v>447</v>
      </c>
      <c r="D18" s="680">
        <v>3</v>
      </c>
      <c r="E18" s="681">
        <v>0</v>
      </c>
      <c r="F18" s="682">
        <v>36</v>
      </c>
      <c r="G18" s="682"/>
      <c r="H18" s="683">
        <f t="shared" si="0"/>
        <v>36</v>
      </c>
      <c r="I18" s="681">
        <v>36</v>
      </c>
      <c r="J18" s="682">
        <f t="shared" si="1"/>
        <v>0</v>
      </c>
      <c r="K18" s="682"/>
      <c r="L18" s="682">
        <v>33</v>
      </c>
      <c r="M18" s="683">
        <f t="shared" si="2"/>
        <v>3</v>
      </c>
      <c r="N18" s="681"/>
      <c r="O18" s="681">
        <v>3</v>
      </c>
      <c r="P18" s="682">
        <v>180</v>
      </c>
      <c r="Q18" s="682">
        <v>176</v>
      </c>
      <c r="R18" s="683">
        <f t="shared" si="3"/>
        <v>7</v>
      </c>
      <c r="S18" s="681">
        <v>4</v>
      </c>
    </row>
    <row r="19" spans="2:19" ht="15.75" customHeight="1">
      <c r="B19" s="680">
        <v>117771</v>
      </c>
      <c r="C19" s="680" t="s">
        <v>448</v>
      </c>
      <c r="D19" s="680">
        <v>3</v>
      </c>
      <c r="E19" s="681">
        <v>0</v>
      </c>
      <c r="F19" s="682">
        <v>94</v>
      </c>
      <c r="G19" s="682"/>
      <c r="H19" s="683">
        <f t="shared" si="0"/>
        <v>94</v>
      </c>
      <c r="I19" s="681">
        <v>94</v>
      </c>
      <c r="J19" s="682">
        <f t="shared" si="1"/>
        <v>0</v>
      </c>
      <c r="K19" s="682"/>
      <c r="L19" s="682">
        <v>39</v>
      </c>
      <c r="M19" s="683">
        <f t="shared" si="2"/>
        <v>55</v>
      </c>
      <c r="N19" s="681"/>
      <c r="O19" s="681">
        <v>55</v>
      </c>
      <c r="P19" s="682"/>
      <c r="Q19" s="682">
        <v>2</v>
      </c>
      <c r="R19" s="683">
        <f t="shared" si="3"/>
        <v>53</v>
      </c>
      <c r="S19" s="681">
        <v>54</v>
      </c>
    </row>
    <row r="20" spans="2:19" ht="15.75" customHeight="1">
      <c r="B20" s="680">
        <v>552896</v>
      </c>
      <c r="C20" s="680" t="s">
        <v>449</v>
      </c>
      <c r="D20" s="680">
        <v>1</v>
      </c>
      <c r="E20" s="681">
        <v>0</v>
      </c>
      <c r="F20" s="682"/>
      <c r="G20" s="682"/>
      <c r="H20" s="683">
        <f t="shared" si="0"/>
        <v>0</v>
      </c>
      <c r="I20" s="681">
        <v>0</v>
      </c>
      <c r="J20" s="682">
        <f t="shared" si="1"/>
        <v>0</v>
      </c>
      <c r="K20" s="682"/>
      <c r="L20" s="682">
        <v>0</v>
      </c>
      <c r="M20" s="683">
        <f t="shared" si="2"/>
        <v>0</v>
      </c>
      <c r="N20" s="681"/>
      <c r="O20" s="681">
        <v>0</v>
      </c>
      <c r="P20" s="682"/>
      <c r="Q20" s="682">
        <v>0</v>
      </c>
      <c r="R20" s="683">
        <f t="shared" si="3"/>
        <v>0</v>
      </c>
      <c r="S20" s="681">
        <v>0</v>
      </c>
    </row>
    <row r="21" spans="2:19" ht="15.75" customHeight="1">
      <c r="B21" s="680">
        <v>552897</v>
      </c>
      <c r="C21" s="680" t="s">
        <v>451</v>
      </c>
      <c r="D21" s="680">
        <v>1</v>
      </c>
      <c r="E21" s="681">
        <v>0</v>
      </c>
      <c r="F21" s="682">
        <v>6566</v>
      </c>
      <c r="G21" s="682"/>
      <c r="H21" s="683">
        <f t="shared" si="0"/>
        <v>6566</v>
      </c>
      <c r="I21" s="681">
        <v>6566</v>
      </c>
      <c r="J21" s="682">
        <f t="shared" si="1"/>
        <v>0</v>
      </c>
      <c r="K21" s="682">
        <v>1300</v>
      </c>
      <c r="L21" s="682">
        <v>1094</v>
      </c>
      <c r="M21" s="683">
        <f t="shared" si="2"/>
        <v>6772</v>
      </c>
      <c r="N21" s="681"/>
      <c r="O21" s="681">
        <v>6731</v>
      </c>
      <c r="P21" s="682"/>
      <c r="Q21" s="682">
        <v>376</v>
      </c>
      <c r="R21" s="683">
        <f t="shared" si="3"/>
        <v>6355</v>
      </c>
      <c r="S21" s="681">
        <v>6712</v>
      </c>
    </row>
    <row r="22" spans="2:19" ht="15.75" customHeight="1">
      <c r="B22" s="680">
        <v>589466</v>
      </c>
      <c r="C22" s="680" t="s">
        <v>453</v>
      </c>
      <c r="D22" s="680">
        <v>6</v>
      </c>
      <c r="E22" s="681">
        <v>0</v>
      </c>
      <c r="F22" s="682">
        <v>31</v>
      </c>
      <c r="G22" s="682"/>
      <c r="H22" s="683">
        <f t="shared" si="0"/>
        <v>31</v>
      </c>
      <c r="I22" s="681">
        <v>31</v>
      </c>
      <c r="J22" s="682">
        <f t="shared" si="1"/>
        <v>0</v>
      </c>
      <c r="K22" s="682"/>
      <c r="L22" s="682">
        <v>29</v>
      </c>
      <c r="M22" s="683">
        <f t="shared" si="2"/>
        <v>2</v>
      </c>
      <c r="N22" s="681"/>
      <c r="O22" s="681">
        <v>2</v>
      </c>
      <c r="P22" s="682">
        <v>43</v>
      </c>
      <c r="Q22" s="682">
        <v>8</v>
      </c>
      <c r="R22" s="683">
        <f t="shared" si="3"/>
        <v>37</v>
      </c>
      <c r="S22" s="681">
        <v>23</v>
      </c>
    </row>
    <row r="23" spans="2:19" ht="15.75" customHeight="1">
      <c r="B23" s="680">
        <v>646546</v>
      </c>
      <c r="C23" s="680" t="s">
        <v>455</v>
      </c>
      <c r="D23" s="680">
        <v>3</v>
      </c>
      <c r="E23" s="681">
        <v>0</v>
      </c>
      <c r="F23" s="682">
        <v>28</v>
      </c>
      <c r="G23" s="682"/>
      <c r="H23" s="683">
        <f t="shared" si="0"/>
        <v>28</v>
      </c>
      <c r="I23" s="681">
        <v>28</v>
      </c>
      <c r="J23" s="682">
        <f t="shared" si="1"/>
        <v>0</v>
      </c>
      <c r="K23" s="682"/>
      <c r="L23" s="682">
        <v>5</v>
      </c>
      <c r="M23" s="683">
        <f t="shared" si="2"/>
        <v>23</v>
      </c>
      <c r="N23" s="681"/>
      <c r="O23" s="681">
        <v>22</v>
      </c>
      <c r="P23" s="682"/>
      <c r="Q23" s="682">
        <v>0</v>
      </c>
      <c r="R23" s="683">
        <f t="shared" si="3"/>
        <v>22</v>
      </c>
      <c r="S23" s="681">
        <v>22</v>
      </c>
    </row>
    <row r="24" spans="2:19" ht="15.75" customHeight="1">
      <c r="B24" s="680">
        <v>589462</v>
      </c>
      <c r="C24" s="680" t="s">
        <v>458</v>
      </c>
      <c r="D24" s="680">
        <v>6</v>
      </c>
      <c r="E24" s="681">
        <v>0</v>
      </c>
      <c r="F24" s="682">
        <v>25</v>
      </c>
      <c r="G24" s="682"/>
      <c r="H24" s="683">
        <f t="shared" si="0"/>
        <v>25</v>
      </c>
      <c r="I24" s="681">
        <v>25</v>
      </c>
      <c r="J24" s="682">
        <f t="shared" si="1"/>
        <v>0</v>
      </c>
      <c r="K24" s="682"/>
      <c r="L24" s="682">
        <v>11</v>
      </c>
      <c r="M24" s="683">
        <f t="shared" si="2"/>
        <v>14</v>
      </c>
      <c r="N24" s="681"/>
      <c r="O24" s="681">
        <v>15</v>
      </c>
      <c r="P24" s="682">
        <v>27</v>
      </c>
      <c r="Q24" s="682">
        <v>14</v>
      </c>
      <c r="R24" s="683">
        <f t="shared" si="3"/>
        <v>28</v>
      </c>
      <c r="S24" s="681">
        <v>42</v>
      </c>
    </row>
    <row r="25" spans="2:19" ht="15.75" customHeight="1">
      <c r="B25" s="680">
        <v>646548</v>
      </c>
      <c r="C25" s="680" t="s">
        <v>462</v>
      </c>
      <c r="D25" s="680">
        <v>3</v>
      </c>
      <c r="E25" s="681">
        <v>0</v>
      </c>
      <c r="F25" s="682">
        <v>39</v>
      </c>
      <c r="G25" s="682"/>
      <c r="H25" s="683">
        <f t="shared" si="0"/>
        <v>39</v>
      </c>
      <c r="I25" s="681">
        <v>39</v>
      </c>
      <c r="J25" s="682">
        <f t="shared" si="1"/>
        <v>0</v>
      </c>
      <c r="K25" s="682"/>
      <c r="L25" s="682">
        <v>33</v>
      </c>
      <c r="M25" s="683">
        <f t="shared" si="2"/>
        <v>6</v>
      </c>
      <c r="N25" s="681"/>
      <c r="O25" s="681">
        <v>6</v>
      </c>
      <c r="P25" s="682">
        <v>56</v>
      </c>
      <c r="Q25" s="682">
        <v>3</v>
      </c>
      <c r="R25" s="683">
        <f t="shared" si="3"/>
        <v>59</v>
      </c>
      <c r="S25" s="681">
        <v>59</v>
      </c>
    </row>
    <row r="26" spans="2:19" ht="15.75" customHeight="1">
      <c r="B26" s="680">
        <v>646567</v>
      </c>
      <c r="C26" s="680" t="s">
        <v>470</v>
      </c>
      <c r="D26" s="680">
        <v>3</v>
      </c>
      <c r="E26" s="681">
        <v>0</v>
      </c>
      <c r="F26" s="682">
        <v>37</v>
      </c>
      <c r="G26" s="682"/>
      <c r="H26" s="683">
        <f t="shared" si="0"/>
        <v>37</v>
      </c>
      <c r="I26" s="681">
        <v>37</v>
      </c>
      <c r="J26" s="682">
        <f t="shared" si="1"/>
        <v>0</v>
      </c>
      <c r="K26" s="682"/>
      <c r="L26" s="682">
        <v>20</v>
      </c>
      <c r="M26" s="683">
        <f t="shared" si="2"/>
        <v>17</v>
      </c>
      <c r="N26" s="681"/>
      <c r="O26" s="681">
        <v>17</v>
      </c>
      <c r="P26" s="682">
        <v>23</v>
      </c>
      <c r="Q26" s="682">
        <v>0</v>
      </c>
      <c r="R26" s="683">
        <f t="shared" si="3"/>
        <v>40</v>
      </c>
      <c r="S26" s="681">
        <v>40</v>
      </c>
    </row>
    <row r="27" spans="2:19" ht="15.75" customHeight="1">
      <c r="B27" s="680">
        <v>644561</v>
      </c>
      <c r="C27" s="680" t="s">
        <v>471</v>
      </c>
      <c r="D27" s="680">
        <v>6</v>
      </c>
      <c r="E27" s="681">
        <v>0</v>
      </c>
      <c r="F27" s="682">
        <v>731</v>
      </c>
      <c r="G27" s="682"/>
      <c r="H27" s="683">
        <f t="shared" si="0"/>
        <v>731</v>
      </c>
      <c r="I27" s="681">
        <v>0</v>
      </c>
      <c r="J27" s="682">
        <f t="shared" si="1"/>
        <v>-731</v>
      </c>
      <c r="K27" s="682"/>
      <c r="L27" s="682">
        <v>330</v>
      </c>
      <c r="M27" s="683">
        <f t="shared" si="2"/>
        <v>-330</v>
      </c>
      <c r="N27" s="681"/>
      <c r="O27" s="681">
        <v>397</v>
      </c>
      <c r="P27" s="682"/>
      <c r="Q27" s="682">
        <v>119</v>
      </c>
      <c r="R27" s="683">
        <f t="shared" si="3"/>
        <v>278</v>
      </c>
      <c r="S27" s="681">
        <v>284</v>
      </c>
    </row>
    <row r="28" spans="2:19" ht="15.75" customHeight="1">
      <c r="B28" s="680">
        <v>578785</v>
      </c>
      <c r="C28" s="680" t="s">
        <v>472</v>
      </c>
      <c r="D28" s="680">
        <v>1</v>
      </c>
      <c r="E28" s="681">
        <v>0</v>
      </c>
      <c r="F28" s="682"/>
      <c r="G28" s="682"/>
      <c r="H28" s="683">
        <f t="shared" si="0"/>
        <v>0</v>
      </c>
      <c r="I28" s="681">
        <v>0</v>
      </c>
      <c r="J28" s="682">
        <f t="shared" si="1"/>
        <v>0</v>
      </c>
      <c r="K28" s="682"/>
      <c r="L28" s="682">
        <v>0</v>
      </c>
      <c r="M28" s="683">
        <f t="shared" si="2"/>
        <v>0</v>
      </c>
      <c r="N28" s="681"/>
      <c r="O28" s="681">
        <v>0</v>
      </c>
      <c r="P28" s="682">
        <v>735</v>
      </c>
      <c r="Q28" s="682">
        <v>463</v>
      </c>
      <c r="R28" s="683">
        <f t="shared" si="3"/>
        <v>272</v>
      </c>
      <c r="S28" s="681">
        <v>698</v>
      </c>
    </row>
    <row r="29" spans="2:19" ht="15.75" customHeight="1">
      <c r="B29" s="680">
        <v>701775</v>
      </c>
      <c r="C29" s="680" t="s">
        <v>471</v>
      </c>
      <c r="D29" s="680">
        <v>6</v>
      </c>
      <c r="E29" s="681">
        <v>0</v>
      </c>
      <c r="F29" s="682"/>
      <c r="G29" s="682"/>
      <c r="H29" s="683">
        <f t="shared" si="0"/>
        <v>0</v>
      </c>
      <c r="I29" s="681">
        <v>731</v>
      </c>
      <c r="J29" s="682">
        <f t="shared" si="1"/>
        <v>731</v>
      </c>
      <c r="K29" s="682"/>
      <c r="L29" s="682">
        <v>0</v>
      </c>
      <c r="M29" s="683">
        <f t="shared" si="2"/>
        <v>731</v>
      </c>
      <c r="N29" s="681"/>
      <c r="O29" s="681">
        <v>0</v>
      </c>
      <c r="P29" s="682"/>
      <c r="Q29" s="682">
        <v>0</v>
      </c>
      <c r="R29" s="683">
        <f t="shared" si="3"/>
        <v>0</v>
      </c>
      <c r="S29" s="681">
        <v>0</v>
      </c>
    </row>
    <row r="30" spans="2:19" ht="15.75" customHeight="1">
      <c r="B30" s="983" t="s">
        <v>473</v>
      </c>
      <c r="C30" s="905"/>
      <c r="D30" s="905"/>
      <c r="E30" s="693">
        <f t="shared" ref="E30:M30" si="4">SUM(E3:E29)</f>
        <v>42980</v>
      </c>
      <c r="F30" s="693">
        <f t="shared" si="4"/>
        <v>11637</v>
      </c>
      <c r="G30" s="693">
        <f t="shared" si="4"/>
        <v>13705</v>
      </c>
      <c r="H30" s="693">
        <f t="shared" si="4"/>
        <v>40912</v>
      </c>
      <c r="I30" s="693">
        <f t="shared" si="4"/>
        <v>40667</v>
      </c>
      <c r="J30" s="693">
        <f t="shared" si="4"/>
        <v>-245</v>
      </c>
      <c r="K30" s="693">
        <f t="shared" si="4"/>
        <v>27253</v>
      </c>
      <c r="L30" s="693">
        <f t="shared" si="4"/>
        <v>16215</v>
      </c>
      <c r="M30" s="693">
        <f t="shared" si="4"/>
        <v>51705</v>
      </c>
      <c r="N30" s="693"/>
      <c r="O30" s="693">
        <f t="shared" ref="O30:S30" si="5">SUM(O3:O29)</f>
        <v>48649</v>
      </c>
      <c r="P30" s="693">
        <f t="shared" si="5"/>
        <v>15431</v>
      </c>
      <c r="Q30" s="693">
        <f t="shared" si="5"/>
        <v>12525.166666666666</v>
      </c>
      <c r="R30" s="693">
        <f t="shared" si="5"/>
        <v>51554.833333333336</v>
      </c>
      <c r="S30" s="693">
        <f t="shared" si="5"/>
        <v>50519</v>
      </c>
    </row>
  </sheetData>
  <mergeCells count="1">
    <mergeCell ref="B30:D30"/>
  </mergeCells>
  <phoneticPr fontId="8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D9EAD3"/>
    <outlinePr summaryBelow="0" summaryRight="0"/>
  </sheetPr>
  <dimension ref="A1:U1085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.75" customHeight="1"/>
  <cols>
    <col min="4" max="5" width="17.7109375" customWidth="1"/>
    <col min="7" max="7" width="20.7109375" customWidth="1"/>
    <col min="8" max="8" width="16.42578125" customWidth="1"/>
    <col min="9" max="10" width="14.85546875" customWidth="1"/>
    <col min="11" max="11" width="24.140625" customWidth="1"/>
    <col min="12" max="12" width="17.140625" customWidth="1"/>
    <col min="13" max="13" width="14.42578125" hidden="1"/>
    <col min="14" max="14" width="15.5703125" hidden="1" customWidth="1"/>
    <col min="15" max="17" width="14.42578125" hidden="1"/>
    <col min="18" max="18" width="24.140625" customWidth="1"/>
  </cols>
  <sheetData>
    <row r="1" spans="1:21" ht="12.75">
      <c r="A1" s="7" t="s">
        <v>450</v>
      </c>
      <c r="B1" s="7">
        <v>2024011007</v>
      </c>
      <c r="D1" s="7" t="s">
        <v>452</v>
      </c>
      <c r="E1" s="7">
        <v>2024010030</v>
      </c>
      <c r="F1" s="75"/>
    </row>
    <row r="2" spans="1:21" ht="17.25">
      <c r="A2" s="685" t="s">
        <v>454</v>
      </c>
      <c r="D2" s="118"/>
      <c r="E2" s="118"/>
      <c r="F2" s="75"/>
      <c r="I2" s="686" t="s">
        <v>456</v>
      </c>
      <c r="J2" s="686" t="s">
        <v>457</v>
      </c>
    </row>
    <row r="3" spans="1:21" ht="12.75">
      <c r="A3" s="687"/>
      <c r="B3" s="688"/>
      <c r="C3" s="688" t="s">
        <v>459</v>
      </c>
      <c r="D3" s="688" t="s">
        <v>460</v>
      </c>
      <c r="E3" s="689" t="s">
        <v>461</v>
      </c>
      <c r="F3" s="690" t="s">
        <v>463</v>
      </c>
      <c r="G3" s="688" t="s">
        <v>464</v>
      </c>
      <c r="H3" s="688" t="s">
        <v>465</v>
      </c>
      <c r="I3" s="688" t="s">
        <v>466</v>
      </c>
      <c r="J3" s="688" t="s">
        <v>467</v>
      </c>
      <c r="K3" s="688" t="s">
        <v>468</v>
      </c>
      <c r="L3" s="688" t="s">
        <v>469</v>
      </c>
    </row>
    <row r="4" spans="1:21" ht="14.25" hidden="1">
      <c r="A4" s="864" t="s">
        <v>27</v>
      </c>
      <c r="B4" s="864">
        <v>1</v>
      </c>
      <c r="C4" s="165">
        <v>2025003005</v>
      </c>
      <c r="D4" s="165">
        <v>2023009004</v>
      </c>
      <c r="E4" s="173">
        <v>0</v>
      </c>
      <c r="F4" s="691">
        <f t="shared" ref="F4:F39" si="0">(C4-$B$1)</f>
        <v>991998</v>
      </c>
      <c r="G4" s="691">
        <f>(C4-$B$1-180)</f>
        <v>991818</v>
      </c>
      <c r="H4" s="692">
        <f t="shared" ref="H4:H39" si="1">(E4/G4)*7</f>
        <v>0</v>
      </c>
      <c r="I4" s="692">
        <v>2091</v>
      </c>
      <c r="J4" s="692">
        <v>2178</v>
      </c>
      <c r="K4" s="311" t="str">
        <f t="shared" ref="K4:K23" si="2">IF(H4-J4&lt;0,"",H4-J4)</f>
        <v/>
      </c>
      <c r="L4" s="311" t="str">
        <f t="shared" ref="L4:L23" si="3">IF(J4*(G4/7)&gt;E4,"",E4-J4*(G4/7))</f>
        <v/>
      </c>
      <c r="P4" s="7" t="s">
        <v>474</v>
      </c>
    </row>
    <row r="5" spans="1:21" ht="14.25">
      <c r="A5" s="865"/>
      <c r="B5" s="865"/>
      <c r="C5" s="165">
        <v>2025003027</v>
      </c>
      <c r="D5" s="165">
        <v>2023009026</v>
      </c>
      <c r="E5" s="173">
        <v>7436</v>
      </c>
      <c r="F5" s="691">
        <f t="shared" si="0"/>
        <v>992020</v>
      </c>
      <c r="G5" s="691">
        <f>(C5-$B$1-90)</f>
        <v>991930</v>
      </c>
      <c r="H5" s="692">
        <f t="shared" si="1"/>
        <v>5.2475477100198606E-2</v>
      </c>
      <c r="I5" s="692">
        <v>2139</v>
      </c>
      <c r="J5" s="692">
        <v>1100</v>
      </c>
      <c r="K5" s="311" t="str">
        <f t="shared" si="2"/>
        <v/>
      </c>
      <c r="L5" s="311" t="str">
        <f t="shared" si="3"/>
        <v/>
      </c>
      <c r="R5" s="118" t="s">
        <v>475</v>
      </c>
      <c r="S5" s="118"/>
    </row>
    <row r="6" spans="1:21" ht="14.25">
      <c r="A6" s="865"/>
      <c r="B6" s="865"/>
      <c r="C6" s="165">
        <v>2025004021</v>
      </c>
      <c r="D6" s="165">
        <v>2023010021</v>
      </c>
      <c r="E6" s="173">
        <v>11063</v>
      </c>
      <c r="F6" s="691">
        <f t="shared" si="0"/>
        <v>993014</v>
      </c>
      <c r="G6" s="691">
        <f>(C6-$B$1-90)-G5</f>
        <v>994</v>
      </c>
      <c r="H6" s="692">
        <f t="shared" si="1"/>
        <v>77.908450704225359</v>
      </c>
      <c r="I6" s="692">
        <f t="shared" ref="I6:I7" si="4">I5</f>
        <v>2139</v>
      </c>
      <c r="J6" s="692">
        <v>1189</v>
      </c>
      <c r="K6" s="311" t="str">
        <f t="shared" si="2"/>
        <v/>
      </c>
      <c r="L6" s="311" t="str">
        <f t="shared" si="3"/>
        <v/>
      </c>
      <c r="P6" s="694" t="s">
        <v>476</v>
      </c>
      <c r="Q6" s="695">
        <v>1857</v>
      </c>
      <c r="R6" s="118" t="s">
        <v>477</v>
      </c>
      <c r="S6" s="118"/>
    </row>
    <row r="7" spans="1:21" ht="14.25">
      <c r="A7" s="865"/>
      <c r="B7" s="865"/>
      <c r="C7" s="165">
        <v>2025009015</v>
      </c>
      <c r="D7" s="165">
        <v>2024003016</v>
      </c>
      <c r="E7" s="173">
        <v>5328</v>
      </c>
      <c r="F7" s="691">
        <f t="shared" si="0"/>
        <v>998008</v>
      </c>
      <c r="G7" s="691">
        <f>(C7-$B$1-90)</f>
        <v>997918</v>
      </c>
      <c r="H7" s="692">
        <f t="shared" si="1"/>
        <v>3.737381227716105E-2</v>
      </c>
      <c r="I7" s="692">
        <f t="shared" si="4"/>
        <v>2139</v>
      </c>
      <c r="J7" s="692">
        <v>2074</v>
      </c>
      <c r="K7" s="311" t="str">
        <f t="shared" si="2"/>
        <v/>
      </c>
      <c r="L7" s="311" t="str">
        <f t="shared" si="3"/>
        <v/>
      </c>
      <c r="P7" s="694" t="s">
        <v>478</v>
      </c>
      <c r="Q7" s="695">
        <v>2415</v>
      </c>
    </row>
    <row r="8" spans="1:21" ht="14.25" hidden="1">
      <c r="A8" s="865"/>
      <c r="B8" s="866"/>
      <c r="C8" s="696"/>
      <c r="D8" s="173"/>
      <c r="E8" s="173"/>
      <c r="F8" s="691">
        <f t="shared" si="0"/>
        <v>-2024011007</v>
      </c>
      <c r="G8" s="691">
        <f t="shared" ref="G8:G11" si="5">(C8-$B$1-180)</f>
        <v>-2024011187</v>
      </c>
      <c r="H8" s="692">
        <f t="shared" si="1"/>
        <v>0</v>
      </c>
      <c r="I8" s="692">
        <v>2041</v>
      </c>
      <c r="J8" s="692">
        <v>2041</v>
      </c>
      <c r="K8" s="311" t="str">
        <f t="shared" si="2"/>
        <v/>
      </c>
      <c r="L8" s="692">
        <f t="shared" si="3"/>
        <v>590143833238.14282</v>
      </c>
      <c r="P8" s="694"/>
      <c r="Q8" s="697"/>
    </row>
    <row r="9" spans="1:21" ht="14.25" hidden="1">
      <c r="A9" s="865"/>
      <c r="B9" s="864">
        <v>2</v>
      </c>
      <c r="C9" s="165">
        <v>2025003003</v>
      </c>
      <c r="D9" s="165">
        <v>2023009002</v>
      </c>
      <c r="E9" s="173"/>
      <c r="F9" s="691">
        <f t="shared" si="0"/>
        <v>991996</v>
      </c>
      <c r="G9" s="691">
        <f t="shared" si="5"/>
        <v>991816</v>
      </c>
      <c r="H9" s="692">
        <f t="shared" si="1"/>
        <v>0</v>
      </c>
      <c r="I9" s="692">
        <v>2097</v>
      </c>
      <c r="J9" s="692">
        <v>2097</v>
      </c>
      <c r="K9" s="311" t="str">
        <f t="shared" si="2"/>
        <v/>
      </c>
      <c r="L9" s="311" t="str">
        <f t="shared" si="3"/>
        <v/>
      </c>
      <c r="P9" s="694" t="s">
        <v>479</v>
      </c>
      <c r="Q9" s="697">
        <v>820</v>
      </c>
    </row>
    <row r="10" spans="1:21" ht="14.25" hidden="1">
      <c r="A10" s="865"/>
      <c r="B10" s="865"/>
      <c r="C10" s="165">
        <v>2025003028</v>
      </c>
      <c r="D10" s="165">
        <v>2023009027</v>
      </c>
      <c r="E10" s="173"/>
      <c r="F10" s="691">
        <f t="shared" si="0"/>
        <v>992021</v>
      </c>
      <c r="G10" s="691">
        <f t="shared" si="5"/>
        <v>991841</v>
      </c>
      <c r="H10" s="692">
        <f t="shared" si="1"/>
        <v>0</v>
      </c>
      <c r="I10" s="692">
        <f t="shared" ref="I10:J10" si="6">I9</f>
        <v>2097</v>
      </c>
      <c r="J10" s="692">
        <f t="shared" si="6"/>
        <v>2097</v>
      </c>
      <c r="K10" s="311" t="str">
        <f t="shared" si="2"/>
        <v/>
      </c>
      <c r="L10" s="311" t="str">
        <f t="shared" si="3"/>
        <v/>
      </c>
      <c r="P10" s="694" t="s">
        <v>480</v>
      </c>
      <c r="Q10" s="695">
        <v>2858</v>
      </c>
    </row>
    <row r="11" spans="1:21" ht="14.25" hidden="1">
      <c r="A11" s="865"/>
      <c r="B11" s="865"/>
      <c r="C11" s="165">
        <v>2025004024</v>
      </c>
      <c r="D11" s="165">
        <v>2023010024</v>
      </c>
      <c r="E11" s="173"/>
      <c r="F11" s="691">
        <f t="shared" si="0"/>
        <v>993017</v>
      </c>
      <c r="G11" s="691">
        <f t="shared" si="5"/>
        <v>992837</v>
      </c>
      <c r="H11" s="692">
        <f t="shared" si="1"/>
        <v>0</v>
      </c>
      <c r="I11" s="692">
        <f t="shared" ref="I11:J11" si="7">I10</f>
        <v>2097</v>
      </c>
      <c r="J11" s="692">
        <f t="shared" si="7"/>
        <v>2097</v>
      </c>
      <c r="K11" s="311" t="str">
        <f t="shared" si="2"/>
        <v/>
      </c>
      <c r="L11" s="311" t="str">
        <f t="shared" si="3"/>
        <v/>
      </c>
      <c r="P11" s="694" t="s">
        <v>481</v>
      </c>
      <c r="Q11" s="695">
        <v>2079</v>
      </c>
    </row>
    <row r="12" spans="1:21" ht="14.25">
      <c r="A12" s="865"/>
      <c r="B12" s="865"/>
      <c r="C12" s="165">
        <v>2025005026</v>
      </c>
      <c r="D12" s="165">
        <v>2023011025</v>
      </c>
      <c r="E12" s="173">
        <v>10050</v>
      </c>
      <c r="F12" s="691">
        <f t="shared" si="0"/>
        <v>994019</v>
      </c>
      <c r="G12" s="691">
        <f t="shared" ref="G12:G14" si="8">(C12-$B$1-90)</f>
        <v>993929</v>
      </c>
      <c r="H12" s="692">
        <f t="shared" si="1"/>
        <v>7.0779703580436837E-2</v>
      </c>
      <c r="I12" s="692">
        <v>1944</v>
      </c>
      <c r="J12" s="692">
        <v>1924</v>
      </c>
      <c r="K12" s="311" t="str">
        <f t="shared" si="2"/>
        <v/>
      </c>
      <c r="L12" s="311" t="str">
        <f t="shared" si="3"/>
        <v/>
      </c>
      <c r="P12" s="694" t="s">
        <v>482</v>
      </c>
      <c r="Q12" s="697">
        <v>814</v>
      </c>
      <c r="S12" s="118"/>
      <c r="T12" s="104"/>
    </row>
    <row r="13" spans="1:21" ht="14.25">
      <c r="A13" s="865"/>
      <c r="B13" s="865"/>
      <c r="C13" s="165">
        <v>2025007005</v>
      </c>
      <c r="D13" s="165">
        <v>2024001004</v>
      </c>
      <c r="E13" s="173">
        <v>14263</v>
      </c>
      <c r="F13" s="691">
        <f t="shared" si="0"/>
        <v>995998</v>
      </c>
      <c r="G13" s="691">
        <f t="shared" si="8"/>
        <v>995908</v>
      </c>
      <c r="H13" s="692">
        <f t="shared" si="1"/>
        <v>0.10025122802507862</v>
      </c>
      <c r="I13" s="692">
        <f t="shared" ref="I13:J13" si="9">I12</f>
        <v>1944</v>
      </c>
      <c r="J13" s="692">
        <f t="shared" si="9"/>
        <v>1924</v>
      </c>
      <c r="K13" s="311" t="str">
        <f t="shared" si="2"/>
        <v/>
      </c>
      <c r="L13" s="311" t="str">
        <f t="shared" si="3"/>
        <v/>
      </c>
    </row>
    <row r="14" spans="1:21" ht="14.25">
      <c r="A14" s="865"/>
      <c r="B14" s="866"/>
      <c r="C14" s="165">
        <v>2025007023</v>
      </c>
      <c r="D14" s="165">
        <v>2024001022</v>
      </c>
      <c r="E14" s="173">
        <v>15704</v>
      </c>
      <c r="F14" s="691">
        <f t="shared" si="0"/>
        <v>996016</v>
      </c>
      <c r="G14" s="691">
        <f t="shared" si="8"/>
        <v>995926</v>
      </c>
      <c r="H14" s="692">
        <f t="shared" si="1"/>
        <v>0.11037767866287254</v>
      </c>
      <c r="I14" s="692">
        <f t="shared" ref="I14:J14" si="10">I13</f>
        <v>1944</v>
      </c>
      <c r="J14" s="692">
        <f t="shared" si="10"/>
        <v>1924</v>
      </c>
      <c r="K14" s="311" t="str">
        <f t="shared" si="2"/>
        <v/>
      </c>
      <c r="L14" s="311" t="str">
        <f t="shared" si="3"/>
        <v/>
      </c>
      <c r="S14" s="7" t="s">
        <v>483</v>
      </c>
    </row>
    <row r="15" spans="1:21" ht="14.25" hidden="1">
      <c r="A15" s="865"/>
      <c r="B15" s="864">
        <v>3</v>
      </c>
      <c r="C15" s="165">
        <v>2025004020</v>
      </c>
      <c r="D15" s="165">
        <v>2023010020</v>
      </c>
      <c r="E15" s="173"/>
      <c r="F15" s="691">
        <f t="shared" si="0"/>
        <v>993013</v>
      </c>
      <c r="G15" s="691">
        <f>(C15-$B$1-180)</f>
        <v>992833</v>
      </c>
      <c r="H15" s="692">
        <f t="shared" si="1"/>
        <v>0</v>
      </c>
      <c r="I15" s="692">
        <v>735</v>
      </c>
      <c r="J15" s="692">
        <v>691</v>
      </c>
      <c r="K15" s="311" t="str">
        <f t="shared" si="2"/>
        <v/>
      </c>
      <c r="L15" s="311" t="str">
        <f t="shared" si="3"/>
        <v/>
      </c>
      <c r="S15" s="7" t="s">
        <v>484</v>
      </c>
    </row>
    <row r="16" spans="1:21" ht="14.25">
      <c r="A16" s="865"/>
      <c r="B16" s="865"/>
      <c r="C16" s="165">
        <v>2025005018</v>
      </c>
      <c r="D16" s="165">
        <v>2023011017</v>
      </c>
      <c r="E16" s="173">
        <v>3433</v>
      </c>
      <c r="F16" s="691">
        <f t="shared" si="0"/>
        <v>994011</v>
      </c>
      <c r="G16" s="691">
        <f t="shared" ref="G16:G18" si="11">(C16-$B$1-90)</f>
        <v>993921</v>
      </c>
      <c r="H16" s="692">
        <f t="shared" si="1"/>
        <v>2.4177977927823238E-2</v>
      </c>
      <c r="I16" s="692">
        <v>723</v>
      </c>
      <c r="J16" s="692">
        <v>716</v>
      </c>
      <c r="K16" s="311" t="str">
        <f t="shared" si="2"/>
        <v/>
      </c>
      <c r="L16" s="311" t="str">
        <f t="shared" si="3"/>
        <v/>
      </c>
      <c r="S16" s="298" t="s">
        <v>73</v>
      </c>
      <c r="T16" s="311">
        <v>160</v>
      </c>
      <c r="U16" s="696">
        <f t="shared" ref="U16:U22" ca="1" si="12">T16+TODAY()</f>
        <v>46440</v>
      </c>
    </row>
    <row r="17" spans="1:21" ht="14.25">
      <c r="A17" s="865"/>
      <c r="B17" s="865"/>
      <c r="C17" s="165">
        <v>2025007012</v>
      </c>
      <c r="D17" s="165">
        <v>2024001011</v>
      </c>
      <c r="E17" s="173">
        <v>14734</v>
      </c>
      <c r="F17" s="691">
        <f t="shared" si="0"/>
        <v>996005</v>
      </c>
      <c r="G17" s="691">
        <f t="shared" si="11"/>
        <v>995915</v>
      </c>
      <c r="H17" s="692">
        <f t="shared" si="1"/>
        <v>0.10356104687649047</v>
      </c>
      <c r="I17" s="692">
        <f t="shared" ref="I17:J17" si="13">I16</f>
        <v>723</v>
      </c>
      <c r="J17" s="692">
        <f t="shared" si="13"/>
        <v>716</v>
      </c>
      <c r="K17" s="311" t="str">
        <f t="shared" si="2"/>
        <v/>
      </c>
      <c r="L17" s="311" t="str">
        <f t="shared" si="3"/>
        <v/>
      </c>
      <c r="S17" s="298" t="s">
        <v>74</v>
      </c>
      <c r="T17" s="311">
        <v>210</v>
      </c>
      <c r="U17" s="696">
        <f t="shared" ca="1" si="12"/>
        <v>46490</v>
      </c>
    </row>
    <row r="18" spans="1:21" ht="14.25">
      <c r="A18" s="865"/>
      <c r="B18" s="865"/>
      <c r="C18" s="165">
        <v>2025008005</v>
      </c>
      <c r="D18" s="165">
        <v>2024002004</v>
      </c>
      <c r="E18" s="173">
        <v>1152</v>
      </c>
      <c r="F18" s="691">
        <f t="shared" si="0"/>
        <v>996998</v>
      </c>
      <c r="G18" s="691">
        <f t="shared" si="11"/>
        <v>996908</v>
      </c>
      <c r="H18" s="692">
        <f t="shared" si="1"/>
        <v>8.089011222700589E-3</v>
      </c>
      <c r="I18" s="692">
        <f t="shared" ref="I18:J18" si="14">I17</f>
        <v>723</v>
      </c>
      <c r="J18" s="692">
        <f t="shared" si="14"/>
        <v>716</v>
      </c>
      <c r="K18" s="311" t="str">
        <f t="shared" si="2"/>
        <v/>
      </c>
      <c r="L18" s="311" t="str">
        <f t="shared" si="3"/>
        <v/>
      </c>
      <c r="S18" s="298" t="s">
        <v>485</v>
      </c>
      <c r="T18" s="311">
        <v>163</v>
      </c>
      <c r="U18" s="696">
        <f t="shared" ca="1" si="12"/>
        <v>46443</v>
      </c>
    </row>
    <row r="19" spans="1:21" ht="14.25" hidden="1">
      <c r="A19" s="866"/>
      <c r="B19" s="866"/>
      <c r="C19" s="696"/>
      <c r="D19" s="173"/>
      <c r="E19" s="173"/>
      <c r="F19" s="691">
        <f t="shared" si="0"/>
        <v>-2024011007</v>
      </c>
      <c r="G19" s="691">
        <f t="shared" ref="G19:G32" si="15">(C19-$B$1-180)</f>
        <v>-2024011187</v>
      </c>
      <c r="H19" s="692">
        <f t="shared" si="1"/>
        <v>0</v>
      </c>
      <c r="I19" s="692">
        <v>881</v>
      </c>
      <c r="J19" s="692">
        <v>881</v>
      </c>
      <c r="K19" s="311" t="str">
        <f t="shared" si="2"/>
        <v/>
      </c>
      <c r="L19" s="692">
        <f t="shared" si="3"/>
        <v>254736265106.71426</v>
      </c>
      <c r="M19" s="7"/>
      <c r="S19" s="298"/>
      <c r="T19" s="311"/>
      <c r="U19" s="696">
        <f t="shared" ca="1" si="12"/>
        <v>46280</v>
      </c>
    </row>
    <row r="20" spans="1:21" ht="14.25" hidden="1">
      <c r="A20" s="871" t="s">
        <v>32</v>
      </c>
      <c r="B20" s="871">
        <v>1</v>
      </c>
      <c r="C20" s="696"/>
      <c r="D20" s="173"/>
      <c r="E20" s="173"/>
      <c r="F20" s="691">
        <f t="shared" si="0"/>
        <v>-2024011007</v>
      </c>
      <c r="G20" s="691">
        <f t="shared" si="15"/>
        <v>-2024011187</v>
      </c>
      <c r="H20" s="692">
        <f t="shared" si="1"/>
        <v>0</v>
      </c>
      <c r="I20" s="692"/>
      <c r="J20" s="692"/>
      <c r="K20" s="692">
        <f t="shared" si="2"/>
        <v>0</v>
      </c>
      <c r="L20" s="692">
        <f t="shared" si="3"/>
        <v>0</v>
      </c>
      <c r="M20" s="7"/>
      <c r="S20" s="298"/>
      <c r="T20" s="311"/>
      <c r="U20" s="696">
        <f t="shared" ca="1" si="12"/>
        <v>46280</v>
      </c>
    </row>
    <row r="21" spans="1:21" ht="14.25" hidden="1">
      <c r="A21" s="865"/>
      <c r="B21" s="865"/>
      <c r="C21" s="165">
        <v>2026001015</v>
      </c>
      <c r="D21" s="165">
        <v>2024001016</v>
      </c>
      <c r="E21" s="173"/>
      <c r="F21" s="691">
        <f t="shared" si="0"/>
        <v>1990008</v>
      </c>
      <c r="G21" s="691">
        <f t="shared" si="15"/>
        <v>1989828</v>
      </c>
      <c r="H21" s="692">
        <f t="shared" si="1"/>
        <v>0</v>
      </c>
      <c r="I21" s="692">
        <v>3015</v>
      </c>
      <c r="J21" s="692">
        <v>3015</v>
      </c>
      <c r="K21" s="311" t="str">
        <f t="shared" si="2"/>
        <v/>
      </c>
      <c r="L21" s="311" t="str">
        <f t="shared" si="3"/>
        <v/>
      </c>
      <c r="S21" s="298"/>
      <c r="T21" s="311"/>
      <c r="U21" s="696">
        <f t="shared" ca="1" si="12"/>
        <v>46280</v>
      </c>
    </row>
    <row r="22" spans="1:21" ht="14.25">
      <c r="A22" s="865"/>
      <c r="B22" s="865"/>
      <c r="C22" s="165">
        <v>2026004010</v>
      </c>
      <c r="D22" s="165">
        <v>2024004010</v>
      </c>
      <c r="E22" s="698">
        <v>12047</v>
      </c>
      <c r="F22" s="691">
        <f t="shared" si="0"/>
        <v>1993003</v>
      </c>
      <c r="G22" s="691">
        <f t="shared" si="15"/>
        <v>1992823</v>
      </c>
      <c r="H22" s="692">
        <f t="shared" si="1"/>
        <v>4.2316352229977275E-2</v>
      </c>
      <c r="I22" s="692">
        <v>2653</v>
      </c>
      <c r="J22" s="692">
        <v>2561</v>
      </c>
      <c r="K22" s="311" t="str">
        <f t="shared" si="2"/>
        <v/>
      </c>
      <c r="L22" s="311" t="str">
        <f t="shared" si="3"/>
        <v/>
      </c>
      <c r="M22" s="7"/>
      <c r="S22" s="298" t="s">
        <v>486</v>
      </c>
      <c r="T22" s="311">
        <v>170</v>
      </c>
      <c r="U22" s="696">
        <f t="shared" ca="1" si="12"/>
        <v>46450</v>
      </c>
    </row>
    <row r="23" spans="1:21" ht="14.25">
      <c r="A23" s="865"/>
      <c r="B23" s="865"/>
      <c r="C23" s="699">
        <v>2026005017</v>
      </c>
      <c r="D23" s="165">
        <v>2024005017</v>
      </c>
      <c r="E23" s="173">
        <v>11022</v>
      </c>
      <c r="F23" s="691">
        <f t="shared" si="0"/>
        <v>1994010</v>
      </c>
      <c r="G23" s="691">
        <f t="shared" si="15"/>
        <v>1993830</v>
      </c>
      <c r="H23" s="692">
        <f t="shared" si="1"/>
        <v>3.8696378327139222E-2</v>
      </c>
      <c r="I23" s="692">
        <f t="shared" ref="I23:J23" si="16">I22</f>
        <v>2653</v>
      </c>
      <c r="J23" s="692">
        <f t="shared" si="16"/>
        <v>2561</v>
      </c>
      <c r="K23" s="311" t="str">
        <f t="shared" si="2"/>
        <v/>
      </c>
      <c r="L23" s="311" t="str">
        <f t="shared" si="3"/>
        <v/>
      </c>
      <c r="M23" s="7"/>
    </row>
    <row r="24" spans="1:21" ht="14.25">
      <c r="A24" s="865"/>
      <c r="B24" s="866"/>
      <c r="C24" s="165">
        <v>2026006012</v>
      </c>
      <c r="D24" s="165">
        <v>2024006012</v>
      </c>
      <c r="E24" s="173">
        <v>3180</v>
      </c>
      <c r="F24" s="691">
        <f t="shared" si="0"/>
        <v>1995005</v>
      </c>
      <c r="G24" s="691">
        <f t="shared" si="15"/>
        <v>1994825</v>
      </c>
      <c r="H24" s="692">
        <f t="shared" si="1"/>
        <v>1.1158873585402228E-2</v>
      </c>
      <c r="I24" s="692">
        <f t="shared" ref="I24:J24" si="17">I23</f>
        <v>2653</v>
      </c>
      <c r="J24" s="692">
        <f t="shared" si="17"/>
        <v>2561</v>
      </c>
      <c r="K24" s="311"/>
      <c r="L24" s="311"/>
      <c r="M24" s="7"/>
    </row>
    <row r="25" spans="1:21" ht="14.25" hidden="1">
      <c r="A25" s="865"/>
      <c r="B25" s="871">
        <v>2</v>
      </c>
      <c r="C25" s="165">
        <v>2025008004</v>
      </c>
      <c r="D25" s="165">
        <v>2023008005</v>
      </c>
      <c r="E25" s="173"/>
      <c r="F25" s="691">
        <f t="shared" si="0"/>
        <v>996997</v>
      </c>
      <c r="G25" s="691">
        <f t="shared" si="15"/>
        <v>996817</v>
      </c>
      <c r="H25" s="692">
        <f t="shared" si="1"/>
        <v>0</v>
      </c>
      <c r="I25" s="692">
        <v>2460</v>
      </c>
      <c r="J25" s="692">
        <v>2460</v>
      </c>
      <c r="K25" s="311" t="str">
        <f t="shared" ref="K25:K33" si="18">IF(H25-J25&lt;0,"",H25-J25)</f>
        <v/>
      </c>
      <c r="L25" s="311" t="str">
        <f t="shared" ref="L25:L33" si="19">IF(J25*(G25/7)&gt;E25,"",E25-J25*(G25/7))</f>
        <v/>
      </c>
      <c r="M25" s="7"/>
    </row>
    <row r="26" spans="1:21" ht="14.25" hidden="1">
      <c r="A26" s="865"/>
      <c r="B26" s="865"/>
      <c r="C26" s="165">
        <v>2025008018</v>
      </c>
      <c r="D26" s="165">
        <v>2023008019</v>
      </c>
      <c r="E26" s="173">
        <v>87</v>
      </c>
      <c r="F26" s="691">
        <f t="shared" si="0"/>
        <v>997011</v>
      </c>
      <c r="G26" s="691">
        <f t="shared" si="15"/>
        <v>996831</v>
      </c>
      <c r="H26" s="692">
        <f t="shared" si="1"/>
        <v>6.1093605636261322E-4</v>
      </c>
      <c r="I26" s="692">
        <v>2439</v>
      </c>
      <c r="J26" s="692">
        <v>2439</v>
      </c>
      <c r="K26" s="311" t="str">
        <f t="shared" si="18"/>
        <v/>
      </c>
      <c r="L26" s="311" t="str">
        <f t="shared" si="19"/>
        <v/>
      </c>
    </row>
    <row r="27" spans="1:21" ht="14.25">
      <c r="A27" s="865"/>
      <c r="B27" s="865"/>
      <c r="C27" s="165">
        <v>2026002014</v>
      </c>
      <c r="D27" s="165">
        <v>2024002015</v>
      </c>
      <c r="E27" s="173">
        <v>3479</v>
      </c>
      <c r="F27" s="691">
        <f t="shared" si="0"/>
        <v>1991007</v>
      </c>
      <c r="G27" s="691">
        <f t="shared" si="15"/>
        <v>1990827</v>
      </c>
      <c r="H27" s="692">
        <f t="shared" si="1"/>
        <v>1.2232604842108329E-2</v>
      </c>
      <c r="I27" s="692">
        <f t="shared" ref="I27:I28" si="20">I26</f>
        <v>2439</v>
      </c>
      <c r="J27" s="692">
        <v>2353</v>
      </c>
      <c r="K27" s="311" t="str">
        <f t="shared" si="18"/>
        <v/>
      </c>
      <c r="L27" s="311" t="str">
        <f t="shared" si="19"/>
        <v/>
      </c>
    </row>
    <row r="28" spans="1:21" ht="14.25">
      <c r="A28" s="865"/>
      <c r="B28" s="866"/>
      <c r="C28" s="165">
        <v>2026005017</v>
      </c>
      <c r="D28" s="165">
        <v>2024005017</v>
      </c>
      <c r="E28" s="173">
        <v>20556</v>
      </c>
      <c r="F28" s="691">
        <f t="shared" si="0"/>
        <v>1994010</v>
      </c>
      <c r="G28" s="691">
        <f t="shared" si="15"/>
        <v>1993830</v>
      </c>
      <c r="H28" s="692">
        <f t="shared" si="1"/>
        <v>7.2168640255187252E-2</v>
      </c>
      <c r="I28" s="692">
        <f t="shared" si="20"/>
        <v>2439</v>
      </c>
      <c r="J28" s="692">
        <f>J27</f>
        <v>2353</v>
      </c>
      <c r="K28" s="311" t="str">
        <f t="shared" si="18"/>
        <v/>
      </c>
      <c r="L28" s="311" t="str">
        <f t="shared" si="19"/>
        <v/>
      </c>
    </row>
    <row r="29" spans="1:21" ht="14.25" hidden="1">
      <c r="A29" s="865"/>
      <c r="B29" s="871">
        <v>3</v>
      </c>
      <c r="C29" s="165">
        <v>2025010012</v>
      </c>
      <c r="D29" s="165">
        <v>2023010013</v>
      </c>
      <c r="E29" s="173"/>
      <c r="F29" s="691">
        <f t="shared" si="0"/>
        <v>999005</v>
      </c>
      <c r="G29" s="691">
        <f t="shared" si="15"/>
        <v>998825</v>
      </c>
      <c r="H29" s="692">
        <f t="shared" si="1"/>
        <v>0</v>
      </c>
      <c r="I29" s="692">
        <v>899</v>
      </c>
      <c r="J29" s="692">
        <v>899</v>
      </c>
      <c r="K29" s="311" t="str">
        <f t="shared" si="18"/>
        <v/>
      </c>
      <c r="L29" s="311" t="str">
        <f t="shared" si="19"/>
        <v/>
      </c>
    </row>
    <row r="30" spans="1:21" ht="14.25" hidden="1">
      <c r="A30" s="865"/>
      <c r="B30" s="865"/>
      <c r="C30" s="165">
        <v>2025011023</v>
      </c>
      <c r="D30" s="165">
        <v>2023011024</v>
      </c>
      <c r="E30" s="173">
        <v>194</v>
      </c>
      <c r="F30" s="691">
        <f t="shared" si="0"/>
        <v>1000016</v>
      </c>
      <c r="G30" s="691">
        <f t="shared" si="15"/>
        <v>999836</v>
      </c>
      <c r="H30" s="692">
        <f t="shared" si="1"/>
        <v>1.3582227485307592E-3</v>
      </c>
      <c r="I30" s="692">
        <v>920</v>
      </c>
      <c r="J30" s="692">
        <v>920</v>
      </c>
      <c r="K30" s="311" t="str">
        <f t="shared" si="18"/>
        <v/>
      </c>
      <c r="L30" s="311" t="str">
        <f t="shared" si="19"/>
        <v/>
      </c>
    </row>
    <row r="31" spans="1:21" ht="14.25">
      <c r="A31" s="865"/>
      <c r="B31" s="865"/>
      <c r="C31" s="165">
        <v>2026003008</v>
      </c>
      <c r="D31" s="165">
        <v>2024003008</v>
      </c>
      <c r="E31" s="173">
        <v>12</v>
      </c>
      <c r="F31" s="691">
        <f t="shared" si="0"/>
        <v>1992001</v>
      </c>
      <c r="G31" s="691">
        <f t="shared" si="15"/>
        <v>1991821</v>
      </c>
      <c r="H31" s="692">
        <f t="shared" si="1"/>
        <v>4.2172464292725098E-5</v>
      </c>
      <c r="I31" s="692">
        <f t="shared" ref="I31:I32" si="21">I30</f>
        <v>920</v>
      </c>
      <c r="J31" s="692">
        <v>833</v>
      </c>
      <c r="K31" s="311" t="str">
        <f t="shared" si="18"/>
        <v/>
      </c>
      <c r="L31" s="311" t="str">
        <f t="shared" si="19"/>
        <v/>
      </c>
    </row>
    <row r="32" spans="1:21" ht="14.25">
      <c r="A32" s="866"/>
      <c r="B32" s="866"/>
      <c r="C32" s="165">
        <v>2026005016</v>
      </c>
      <c r="D32" s="165">
        <v>2024005016</v>
      </c>
      <c r="E32" s="173">
        <v>14123</v>
      </c>
      <c r="F32" s="691">
        <f t="shared" si="0"/>
        <v>1994009</v>
      </c>
      <c r="G32" s="691">
        <f t="shared" si="15"/>
        <v>1993829</v>
      </c>
      <c r="H32" s="692">
        <f t="shared" si="1"/>
        <v>4.9583489857956721E-2</v>
      </c>
      <c r="I32" s="692">
        <f t="shared" si="21"/>
        <v>920</v>
      </c>
      <c r="J32" s="692">
        <f>J31</f>
        <v>833</v>
      </c>
      <c r="K32" s="311" t="str">
        <f t="shared" si="18"/>
        <v/>
      </c>
      <c r="L32" s="311" t="str">
        <f t="shared" si="19"/>
        <v/>
      </c>
      <c r="P32" s="7"/>
    </row>
    <row r="33" spans="1:18" ht="14.25">
      <c r="A33" s="984"/>
      <c r="B33" s="986" t="s">
        <v>498</v>
      </c>
      <c r="C33" s="165">
        <v>2025005026</v>
      </c>
      <c r="D33" s="173"/>
      <c r="E33" s="173">
        <v>210</v>
      </c>
      <c r="F33" s="691">
        <f t="shared" si="0"/>
        <v>994019</v>
      </c>
      <c r="G33" s="691">
        <f>(C33-$B$1-90)</f>
        <v>993929</v>
      </c>
      <c r="H33" s="692">
        <f t="shared" si="1"/>
        <v>1.4789788807852472E-3</v>
      </c>
      <c r="I33" s="692">
        <v>105</v>
      </c>
      <c r="J33" s="692">
        <v>85</v>
      </c>
      <c r="K33" s="311" t="str">
        <f t="shared" si="18"/>
        <v/>
      </c>
      <c r="L33" s="311" t="str">
        <f t="shared" si="19"/>
        <v/>
      </c>
      <c r="P33" s="7" t="s">
        <v>503</v>
      </c>
    </row>
    <row r="34" spans="1:18" ht="14.25">
      <c r="A34" s="865"/>
      <c r="B34" s="866"/>
      <c r="C34" s="165">
        <v>2026001009</v>
      </c>
      <c r="D34" s="173"/>
      <c r="E34" s="173">
        <v>6</v>
      </c>
      <c r="F34" s="691">
        <f t="shared" si="0"/>
        <v>1990002</v>
      </c>
      <c r="G34" s="691">
        <f t="shared" ref="G34:G35" si="22">(C34-$B$1-180)</f>
        <v>1989822</v>
      </c>
      <c r="H34" s="692">
        <f t="shared" si="1"/>
        <v>2.1107415638182712E-5</v>
      </c>
      <c r="I34" s="692">
        <f t="shared" ref="I34:J34" si="23">I33</f>
        <v>105</v>
      </c>
      <c r="J34" s="692">
        <f t="shared" si="23"/>
        <v>85</v>
      </c>
      <c r="K34" s="311"/>
      <c r="L34" s="311"/>
      <c r="P34" s="7"/>
    </row>
    <row r="35" spans="1:18" ht="14.25" hidden="1">
      <c r="A35" s="865"/>
      <c r="B35" s="986" t="s">
        <v>504</v>
      </c>
      <c r="C35" s="696"/>
      <c r="D35" s="173"/>
      <c r="E35" s="173"/>
      <c r="F35" s="691">
        <f t="shared" si="0"/>
        <v>-2024011007</v>
      </c>
      <c r="G35" s="691">
        <f t="shared" si="22"/>
        <v>-2024011187</v>
      </c>
      <c r="H35" s="692">
        <f t="shared" si="1"/>
        <v>0</v>
      </c>
      <c r="I35" s="692"/>
      <c r="J35" s="692"/>
      <c r="K35" s="692">
        <f t="shared" ref="K35:K39" si="24">IF(H35-J35&lt;0,"",H35-J35)</f>
        <v>0</v>
      </c>
      <c r="L35" s="692">
        <f t="shared" ref="L35:L39" si="25">IF(J35*(G35/7)&gt;E35,"",E35-J35*(G35/7))</f>
        <v>0</v>
      </c>
      <c r="N35" s="7"/>
      <c r="O35" s="7"/>
    </row>
    <row r="36" spans="1:18" ht="14.25">
      <c r="A36" s="865"/>
      <c r="B36" s="866"/>
      <c r="C36" s="165">
        <v>2026007014</v>
      </c>
      <c r="D36" s="173"/>
      <c r="E36" s="173">
        <v>29</v>
      </c>
      <c r="F36" s="691">
        <f t="shared" si="0"/>
        <v>1996007</v>
      </c>
      <c r="G36" s="691">
        <f>(C36-$B$1-90)</f>
        <v>1995917</v>
      </c>
      <c r="H36" s="692">
        <f t="shared" si="1"/>
        <v>1.0170763613917813E-4</v>
      </c>
      <c r="I36" s="692">
        <v>5</v>
      </c>
      <c r="J36" s="692">
        <v>8</v>
      </c>
      <c r="K36" s="311" t="str">
        <f t="shared" si="24"/>
        <v/>
      </c>
      <c r="L36" s="311" t="str">
        <f t="shared" si="25"/>
        <v/>
      </c>
    </row>
    <row r="37" spans="1:18" ht="14.25" hidden="1">
      <c r="A37" s="865"/>
      <c r="B37" s="986" t="s">
        <v>506</v>
      </c>
      <c r="C37" s="696"/>
      <c r="D37" s="173"/>
      <c r="E37" s="173"/>
      <c r="F37" s="691">
        <f t="shared" si="0"/>
        <v>-2024011007</v>
      </c>
      <c r="G37" s="691">
        <f>(C37-$B$1-180)</f>
        <v>-2024011187</v>
      </c>
      <c r="H37" s="692">
        <f t="shared" si="1"/>
        <v>0</v>
      </c>
      <c r="I37" s="692"/>
      <c r="J37" s="692"/>
      <c r="K37" s="692">
        <f t="shared" si="24"/>
        <v>0</v>
      </c>
      <c r="L37" s="692">
        <f t="shared" si="25"/>
        <v>0</v>
      </c>
    </row>
    <row r="38" spans="1:18" ht="14.25">
      <c r="A38" s="865"/>
      <c r="B38" s="866"/>
      <c r="C38" s="231">
        <v>2025009016</v>
      </c>
      <c r="D38" s="230"/>
      <c r="E38" s="230">
        <v>273</v>
      </c>
      <c r="F38" s="691">
        <f t="shared" si="0"/>
        <v>998009</v>
      </c>
      <c r="G38" s="691">
        <f t="shared" ref="G38:G39" si="26">(C38-$B$1-90)</f>
        <v>997919</v>
      </c>
      <c r="H38" s="692">
        <f t="shared" si="1"/>
        <v>1.9149850839597204E-3</v>
      </c>
      <c r="I38" s="692">
        <v>124</v>
      </c>
      <c r="J38" s="692">
        <v>195</v>
      </c>
      <c r="K38" s="311" t="str">
        <f t="shared" si="24"/>
        <v/>
      </c>
      <c r="L38" s="311" t="str">
        <f t="shared" si="25"/>
        <v/>
      </c>
    </row>
    <row r="39" spans="1:18" ht="14.25">
      <c r="A39" s="866"/>
      <c r="B39" s="708" t="s">
        <v>507</v>
      </c>
      <c r="C39" s="165">
        <v>2025008016</v>
      </c>
      <c r="D39" s="173"/>
      <c r="E39" s="173">
        <v>55</v>
      </c>
      <c r="F39" s="691">
        <f t="shared" si="0"/>
        <v>997009</v>
      </c>
      <c r="G39" s="691">
        <f t="shared" si="26"/>
        <v>996919</v>
      </c>
      <c r="H39" s="692">
        <f t="shared" si="1"/>
        <v>3.8618985093071754E-4</v>
      </c>
      <c r="I39" s="692">
        <v>56</v>
      </c>
      <c r="J39" s="692">
        <v>69</v>
      </c>
      <c r="K39" s="311" t="str">
        <f t="shared" si="24"/>
        <v/>
      </c>
      <c r="L39" s="311" t="str">
        <f t="shared" si="25"/>
        <v/>
      </c>
      <c r="M39" s="7" t="s">
        <v>508</v>
      </c>
    </row>
    <row r="40" spans="1:18" ht="12.75">
      <c r="A40" s="687"/>
      <c r="B40" s="687"/>
      <c r="C40" s="687"/>
      <c r="D40" s="689"/>
      <c r="E40" s="689">
        <f>SUM(E4:E39)</f>
        <v>148436</v>
      </c>
      <c r="F40" s="709"/>
      <c r="G40" s="709"/>
      <c r="H40" s="709"/>
      <c r="I40" s="709"/>
      <c r="J40" s="709"/>
      <c r="K40" s="687"/>
      <c r="L40" s="689"/>
    </row>
    <row r="41" spans="1:18" ht="17.25">
      <c r="A41" s="685"/>
      <c r="F41" s="75"/>
    </row>
    <row r="42" spans="1:18" ht="17.25">
      <c r="A42" s="685" t="s">
        <v>509</v>
      </c>
      <c r="D42" s="7">
        <f>C45-D45</f>
        <v>1994001</v>
      </c>
      <c r="F42" s="75"/>
      <c r="I42" s="686" t="s">
        <v>510</v>
      </c>
      <c r="J42" s="686" t="s">
        <v>511</v>
      </c>
    </row>
    <row r="43" spans="1:18" ht="12.75">
      <c r="A43" s="687"/>
      <c r="B43" s="688"/>
      <c r="C43" s="688" t="s">
        <v>459</v>
      </c>
      <c r="D43" s="688" t="s">
        <v>460</v>
      </c>
      <c r="E43" s="688" t="s">
        <v>461</v>
      </c>
      <c r="F43" s="690" t="s">
        <v>463</v>
      </c>
      <c r="G43" s="688" t="s">
        <v>464</v>
      </c>
      <c r="H43" s="688" t="s">
        <v>465</v>
      </c>
      <c r="I43" s="688" t="s">
        <v>466</v>
      </c>
      <c r="J43" s="688" t="s">
        <v>467</v>
      </c>
      <c r="K43" s="688" t="s">
        <v>512</v>
      </c>
      <c r="L43" s="688" t="s">
        <v>469</v>
      </c>
      <c r="N43" s="7" t="s">
        <v>513</v>
      </c>
      <c r="O43" s="7" t="s">
        <v>514</v>
      </c>
    </row>
    <row r="44" spans="1:18" ht="15">
      <c r="A44" s="891" t="s">
        <v>27</v>
      </c>
      <c r="B44" s="891" t="s">
        <v>110</v>
      </c>
      <c r="C44" s="710">
        <v>2024012011</v>
      </c>
      <c r="D44" s="710">
        <v>2023006012</v>
      </c>
      <c r="E44" s="711">
        <v>1764</v>
      </c>
      <c r="F44" s="712">
        <f t="shared" ref="F44:F74" si="27">(C44-$E$1)</f>
        <v>1981</v>
      </c>
      <c r="G44" s="712">
        <v>0</v>
      </c>
      <c r="H44" s="713"/>
      <c r="I44" s="713"/>
      <c r="J44" s="713"/>
      <c r="K44" s="714" t="str">
        <f t="shared" ref="K44:K53" si="28">IF(H44-J44&lt;=0,"",H44-J44)</f>
        <v/>
      </c>
      <c r="L44" s="713">
        <f t="shared" ref="L44:L53" si="29">IF(J44*(G44/7)&gt;E44,"",E44-J44*(G44/7))</f>
        <v>1764</v>
      </c>
      <c r="M44" s="715" t="e">
        <f t="shared" ref="M44:M49" si="30">E44/J44</f>
        <v>#DIV/0!</v>
      </c>
      <c r="N44" s="715" t="e">
        <f t="shared" ref="N44:N49" si="31">M44/4</f>
        <v>#DIV/0!</v>
      </c>
      <c r="O44" s="7" t="s">
        <v>516</v>
      </c>
      <c r="P44" s="7" t="s">
        <v>474</v>
      </c>
      <c r="R44" s="7" t="s">
        <v>517</v>
      </c>
    </row>
    <row r="45" spans="1:18" ht="15">
      <c r="A45" s="865"/>
      <c r="B45" s="866"/>
      <c r="C45" s="718">
        <v>2025004002</v>
      </c>
      <c r="D45" s="719">
        <v>2023010001</v>
      </c>
      <c r="E45" s="721">
        <v>880</v>
      </c>
      <c r="F45" s="691">
        <f t="shared" si="27"/>
        <v>993972</v>
      </c>
      <c r="G45" s="691">
        <f>ROUNDUP((C45-$E$1-90),0)</f>
        <v>993882</v>
      </c>
      <c r="H45" s="692">
        <f t="shared" ref="H45:H74" si="32">(E45/G45)*7</f>
        <v>6.1979188676321737E-3</v>
      </c>
      <c r="I45" s="692">
        <v>63</v>
      </c>
      <c r="J45" s="692">
        <v>71</v>
      </c>
      <c r="K45" s="311" t="str">
        <f t="shared" si="28"/>
        <v/>
      </c>
      <c r="L45" s="311" t="str">
        <f t="shared" si="29"/>
        <v/>
      </c>
      <c r="M45" s="715">
        <f t="shared" si="30"/>
        <v>12.394366197183098</v>
      </c>
      <c r="N45" s="715">
        <f t="shared" si="31"/>
        <v>3.0985915492957745</v>
      </c>
    </row>
    <row r="46" spans="1:18" ht="15">
      <c r="A46" s="865"/>
      <c r="B46" s="891">
        <v>1</v>
      </c>
      <c r="C46" s="733">
        <v>2025007010</v>
      </c>
      <c r="D46" s="719">
        <v>2024001009</v>
      </c>
      <c r="E46" s="721">
        <v>1678</v>
      </c>
      <c r="F46" s="691">
        <f t="shared" si="27"/>
        <v>996980</v>
      </c>
      <c r="G46" s="691">
        <f>(C46-$E$1-90)</f>
        <v>996890</v>
      </c>
      <c r="H46" s="692">
        <f t="shared" si="32"/>
        <v>1.1782644022911255E-2</v>
      </c>
      <c r="I46" s="692">
        <v>218</v>
      </c>
      <c r="J46" s="692">
        <v>239</v>
      </c>
      <c r="K46" s="311" t="str">
        <f t="shared" si="28"/>
        <v/>
      </c>
      <c r="L46" s="311" t="str">
        <f t="shared" si="29"/>
        <v/>
      </c>
      <c r="M46" s="715">
        <f t="shared" si="30"/>
        <v>7.02092050209205</v>
      </c>
      <c r="N46" s="715">
        <f t="shared" si="31"/>
        <v>1.7552301255230125</v>
      </c>
    </row>
    <row r="47" spans="1:18" ht="15">
      <c r="A47" s="865"/>
      <c r="B47" s="866"/>
      <c r="C47" s="733">
        <v>2025008026</v>
      </c>
      <c r="D47" s="719">
        <v>2024002025</v>
      </c>
      <c r="E47" s="721">
        <v>5130</v>
      </c>
      <c r="F47" s="691">
        <f t="shared" si="27"/>
        <v>997996</v>
      </c>
      <c r="G47" s="691">
        <f>ROUNDUP((C47-$E$1-90),0)</f>
        <v>997906</v>
      </c>
      <c r="H47" s="692">
        <f t="shared" si="32"/>
        <v>3.5985353329872752E-2</v>
      </c>
      <c r="I47" s="692">
        <v>218</v>
      </c>
      <c r="J47" s="692">
        <v>239</v>
      </c>
      <c r="K47" s="311" t="str">
        <f t="shared" si="28"/>
        <v/>
      </c>
      <c r="L47" s="311" t="str">
        <f t="shared" si="29"/>
        <v/>
      </c>
      <c r="M47" s="715">
        <f t="shared" si="30"/>
        <v>21.464435146443513</v>
      </c>
      <c r="N47" s="715">
        <f t="shared" si="31"/>
        <v>5.3661087866108783</v>
      </c>
    </row>
    <row r="48" spans="1:18" ht="15" hidden="1">
      <c r="A48" s="865"/>
      <c r="B48" s="891">
        <v>2</v>
      </c>
      <c r="C48" s="718">
        <v>2025004003</v>
      </c>
      <c r="D48" s="719">
        <v>2023010002</v>
      </c>
      <c r="E48" s="721">
        <v>25</v>
      </c>
      <c r="F48" s="691">
        <f t="shared" si="27"/>
        <v>993973</v>
      </c>
      <c r="G48" s="691">
        <f t="shared" ref="G48:G50" si="33">(C48-$E$1-90)</f>
        <v>993883</v>
      </c>
      <c r="H48" s="692">
        <f t="shared" si="32"/>
        <v>1.7607706339679822E-4</v>
      </c>
      <c r="I48" s="692">
        <v>138</v>
      </c>
      <c r="J48" s="692">
        <v>136</v>
      </c>
      <c r="K48" s="311" t="str">
        <f t="shared" si="28"/>
        <v/>
      </c>
      <c r="L48" s="311" t="str">
        <f t="shared" si="29"/>
        <v/>
      </c>
      <c r="M48" s="715">
        <f t="shared" si="30"/>
        <v>0.18382352941176472</v>
      </c>
      <c r="N48" s="715">
        <f t="shared" si="31"/>
        <v>4.595588235294118E-2</v>
      </c>
      <c r="O48" s="7" t="s">
        <v>575</v>
      </c>
    </row>
    <row r="49" spans="1:18" ht="15">
      <c r="A49" s="865"/>
      <c r="B49" s="865"/>
      <c r="C49" s="719">
        <v>2025011015</v>
      </c>
      <c r="D49" s="719">
        <v>2023011015</v>
      </c>
      <c r="E49" s="721">
        <v>4653</v>
      </c>
      <c r="F49" s="691">
        <f t="shared" si="27"/>
        <v>1000985</v>
      </c>
      <c r="G49" s="691">
        <f t="shared" si="33"/>
        <v>1000895</v>
      </c>
      <c r="H49" s="692">
        <f t="shared" si="32"/>
        <v>3.2541875021855439E-2</v>
      </c>
      <c r="I49" s="692">
        <v>138</v>
      </c>
      <c r="J49" s="692">
        <v>136</v>
      </c>
      <c r="K49" s="311" t="str">
        <f t="shared" si="28"/>
        <v/>
      </c>
      <c r="L49" s="311" t="str">
        <f t="shared" si="29"/>
        <v/>
      </c>
      <c r="M49" s="715">
        <f t="shared" si="30"/>
        <v>34.213235294117645</v>
      </c>
      <c r="N49" s="715">
        <f t="shared" si="31"/>
        <v>8.5533088235294112</v>
      </c>
    </row>
    <row r="50" spans="1:18" ht="15">
      <c r="A50" s="865"/>
      <c r="B50" s="866"/>
      <c r="C50" s="719">
        <v>2025012031</v>
      </c>
      <c r="D50" s="719">
        <v>2024009027</v>
      </c>
      <c r="E50" s="721">
        <v>5940</v>
      </c>
      <c r="F50" s="691">
        <f t="shared" si="27"/>
        <v>1002001</v>
      </c>
      <c r="G50" s="691">
        <f t="shared" si="33"/>
        <v>1001911</v>
      </c>
      <c r="H50" s="692">
        <f t="shared" si="32"/>
        <v>4.1500692177249277E-2</v>
      </c>
      <c r="I50" s="692">
        <v>138</v>
      </c>
      <c r="J50" s="692">
        <v>136</v>
      </c>
      <c r="K50" s="311" t="str">
        <f t="shared" si="28"/>
        <v/>
      </c>
      <c r="L50" s="311" t="str">
        <f t="shared" si="29"/>
        <v/>
      </c>
      <c r="M50" s="715"/>
      <c r="N50" s="715"/>
      <c r="R50" s="7"/>
    </row>
    <row r="51" spans="1:18" ht="15" hidden="1">
      <c r="A51" s="865"/>
      <c r="B51" s="891">
        <v>3</v>
      </c>
      <c r="C51" s="718">
        <v>2024012021</v>
      </c>
      <c r="D51" s="719">
        <v>2023006022</v>
      </c>
      <c r="E51" s="721">
        <v>0</v>
      </c>
      <c r="F51" s="691">
        <f t="shared" si="27"/>
        <v>1991</v>
      </c>
      <c r="G51" s="691"/>
      <c r="H51" s="692" t="e">
        <f t="shared" si="32"/>
        <v>#DIV/0!</v>
      </c>
      <c r="I51" s="692"/>
      <c r="J51" s="692"/>
      <c r="K51" s="311" t="e">
        <f t="shared" si="28"/>
        <v>#DIV/0!</v>
      </c>
      <c r="L51" s="692">
        <f t="shared" si="29"/>
        <v>0</v>
      </c>
      <c r="M51" s="715" t="e">
        <f t="shared" ref="M51:M53" si="34">E51/J51</f>
        <v>#DIV/0!</v>
      </c>
      <c r="N51" s="715" t="e">
        <f t="shared" ref="N51:N53" si="35">M51/4</f>
        <v>#DIV/0!</v>
      </c>
      <c r="R51" s="7"/>
    </row>
    <row r="52" spans="1:18" ht="15">
      <c r="A52" s="865"/>
      <c r="B52" s="865"/>
      <c r="C52" s="718">
        <v>2025004004</v>
      </c>
      <c r="D52" s="719">
        <v>2023010003</v>
      </c>
      <c r="E52" s="721">
        <v>322</v>
      </c>
      <c r="F52" s="691">
        <f t="shared" si="27"/>
        <v>993974</v>
      </c>
      <c r="G52" s="691">
        <f t="shared" ref="G52:G55" si="36">ROUNDUP((C52-$E$1-90),0)-G51</f>
        <v>993884</v>
      </c>
      <c r="H52" s="692">
        <f t="shared" si="32"/>
        <v>2.2678702947225228E-3</v>
      </c>
      <c r="I52" s="692">
        <v>34</v>
      </c>
      <c r="J52" s="692">
        <v>57</v>
      </c>
      <c r="K52" s="311" t="str">
        <f t="shared" si="28"/>
        <v/>
      </c>
      <c r="L52" s="311" t="str">
        <f t="shared" si="29"/>
        <v/>
      </c>
      <c r="M52" s="715">
        <f t="shared" si="34"/>
        <v>5.6491228070175437</v>
      </c>
      <c r="N52" s="715">
        <f t="shared" si="35"/>
        <v>1.4122807017543859</v>
      </c>
    </row>
    <row r="53" spans="1:18" ht="15">
      <c r="A53" s="865"/>
      <c r="B53" s="865"/>
      <c r="C53" s="718">
        <v>2025008020</v>
      </c>
      <c r="D53" s="719">
        <v>2024002019</v>
      </c>
      <c r="E53" s="721">
        <v>810</v>
      </c>
      <c r="F53" s="691">
        <f t="shared" si="27"/>
        <v>997990</v>
      </c>
      <c r="G53" s="691">
        <f t="shared" si="36"/>
        <v>4016</v>
      </c>
      <c r="H53" s="692">
        <f t="shared" si="32"/>
        <v>1.4118525896414342</v>
      </c>
      <c r="I53" s="692">
        <v>34</v>
      </c>
      <c r="J53" s="692">
        <v>57</v>
      </c>
      <c r="K53" s="311" t="str">
        <f t="shared" si="28"/>
        <v/>
      </c>
      <c r="L53" s="311" t="str">
        <f t="shared" si="29"/>
        <v/>
      </c>
      <c r="M53" s="715">
        <f t="shared" si="34"/>
        <v>14.210526315789474</v>
      </c>
      <c r="N53" s="715">
        <f t="shared" si="35"/>
        <v>3.5526315789473686</v>
      </c>
    </row>
    <row r="54" spans="1:18" ht="15">
      <c r="A54" s="865"/>
      <c r="B54" s="865"/>
      <c r="C54" s="719">
        <v>2025010010</v>
      </c>
      <c r="D54" s="719">
        <v>2023010010</v>
      </c>
      <c r="E54" s="721">
        <v>270</v>
      </c>
      <c r="F54" s="691">
        <f t="shared" si="27"/>
        <v>999980</v>
      </c>
      <c r="G54" s="691">
        <f t="shared" si="36"/>
        <v>995874</v>
      </c>
      <c r="H54" s="692">
        <f t="shared" si="32"/>
        <v>1.8978304484302232E-3</v>
      </c>
      <c r="I54" s="692">
        <v>34</v>
      </c>
      <c r="J54" s="692">
        <v>57</v>
      </c>
      <c r="K54" s="311"/>
      <c r="L54" s="311"/>
      <c r="M54" s="715"/>
      <c r="N54" s="715"/>
    </row>
    <row r="55" spans="1:18" ht="15">
      <c r="A55" s="866"/>
      <c r="B55" s="866"/>
      <c r="C55" s="719">
        <v>2025011016</v>
      </c>
      <c r="D55" s="719">
        <v>2023011016</v>
      </c>
      <c r="E55" s="721">
        <v>540</v>
      </c>
      <c r="F55" s="691">
        <f t="shared" si="27"/>
        <v>1000986</v>
      </c>
      <c r="G55" s="691">
        <f t="shared" si="36"/>
        <v>5022</v>
      </c>
      <c r="H55" s="692">
        <f t="shared" si="32"/>
        <v>0.75268817204301075</v>
      </c>
      <c r="I55" s="692">
        <v>34</v>
      </c>
      <c r="J55" s="692">
        <v>57</v>
      </c>
      <c r="K55" s="311"/>
      <c r="L55" s="311"/>
      <c r="M55" s="715"/>
      <c r="N55" s="715"/>
    </row>
    <row r="56" spans="1:18" ht="17.25" hidden="1">
      <c r="A56" s="892" t="s">
        <v>32</v>
      </c>
      <c r="B56" s="892" t="s">
        <v>110</v>
      </c>
      <c r="C56" s="755">
        <v>2025010016</v>
      </c>
      <c r="D56" s="719">
        <v>2023010017</v>
      </c>
      <c r="E56" s="721"/>
      <c r="F56" s="691">
        <f t="shared" si="27"/>
        <v>999986</v>
      </c>
      <c r="G56" s="691">
        <f t="shared" ref="G56:G74" si="37">ROUNDUP((C56-$E$1-180),0)</f>
        <v>999806</v>
      </c>
      <c r="H56" s="692">
        <f t="shared" si="32"/>
        <v>0</v>
      </c>
      <c r="I56" s="692"/>
      <c r="J56" s="692"/>
      <c r="K56" s="311" t="str">
        <f t="shared" ref="K56:K60" si="38">IF(H56-J56&lt;=0,"",H56-J56)</f>
        <v/>
      </c>
      <c r="L56" s="692">
        <f t="shared" ref="L56:L60" si="39">IF(J56*(G56/7)&gt;E56,"",E56-J56*(G56/7))</f>
        <v>0</v>
      </c>
      <c r="M56" s="715" t="e">
        <f t="shared" ref="M56:M59" si="40">E56/J56</f>
        <v>#DIV/0!</v>
      </c>
      <c r="N56" s="715" t="e">
        <f t="shared" ref="N56:N59" si="41">M56/4</f>
        <v>#DIV/0!</v>
      </c>
    </row>
    <row r="57" spans="1:18" ht="17.25" hidden="1">
      <c r="A57" s="865"/>
      <c r="B57" s="865"/>
      <c r="C57" s="762">
        <v>2025012002</v>
      </c>
      <c r="D57" s="719">
        <v>2023012003</v>
      </c>
      <c r="E57" s="721"/>
      <c r="F57" s="691">
        <f t="shared" si="27"/>
        <v>1001972</v>
      </c>
      <c r="G57" s="691">
        <f t="shared" si="37"/>
        <v>1001792</v>
      </c>
      <c r="H57" s="692">
        <f t="shared" si="32"/>
        <v>0</v>
      </c>
      <c r="I57" s="692"/>
      <c r="J57" s="692"/>
      <c r="K57" s="311" t="str">
        <f t="shared" si="38"/>
        <v/>
      </c>
      <c r="L57" s="692">
        <f t="shared" si="39"/>
        <v>0</v>
      </c>
      <c r="M57" s="715" t="e">
        <f t="shared" si="40"/>
        <v>#DIV/0!</v>
      </c>
      <c r="N57" s="715" t="e">
        <f t="shared" si="41"/>
        <v>#DIV/0!</v>
      </c>
    </row>
    <row r="58" spans="1:18" ht="15" hidden="1">
      <c r="A58" s="865"/>
      <c r="B58" s="865"/>
      <c r="C58" s="763">
        <v>2026001011</v>
      </c>
      <c r="D58" s="719">
        <v>2024001012</v>
      </c>
      <c r="E58" s="721">
        <v>0</v>
      </c>
      <c r="F58" s="691">
        <f t="shared" si="27"/>
        <v>1990981</v>
      </c>
      <c r="G58" s="691">
        <f t="shared" si="37"/>
        <v>1990801</v>
      </c>
      <c r="H58" s="692">
        <f t="shared" si="32"/>
        <v>0</v>
      </c>
      <c r="I58" s="692"/>
      <c r="J58" s="692"/>
      <c r="K58" s="311" t="str">
        <f t="shared" si="38"/>
        <v/>
      </c>
      <c r="L58" s="692">
        <f t="shared" si="39"/>
        <v>0</v>
      </c>
      <c r="M58" s="715" t="e">
        <f t="shared" si="40"/>
        <v>#DIV/0!</v>
      </c>
      <c r="N58" s="715" t="e">
        <f t="shared" si="41"/>
        <v>#DIV/0!</v>
      </c>
    </row>
    <row r="59" spans="1:18" ht="15">
      <c r="A59" s="865"/>
      <c r="B59" s="865"/>
      <c r="C59" s="719">
        <v>2026005003</v>
      </c>
      <c r="D59" s="719">
        <v>2024005003</v>
      </c>
      <c r="E59" s="721">
        <v>12718</v>
      </c>
      <c r="F59" s="691">
        <f t="shared" si="27"/>
        <v>1994973</v>
      </c>
      <c r="G59" s="691">
        <f t="shared" si="37"/>
        <v>1994793</v>
      </c>
      <c r="H59" s="692">
        <f t="shared" si="32"/>
        <v>4.4629192101636614E-2</v>
      </c>
      <c r="I59" s="692">
        <v>1163</v>
      </c>
      <c r="J59" s="692">
        <v>1280</v>
      </c>
      <c r="K59" s="311" t="str">
        <f t="shared" si="38"/>
        <v/>
      </c>
      <c r="L59" s="311" t="str">
        <f t="shared" si="39"/>
        <v/>
      </c>
      <c r="M59" s="715">
        <f t="shared" si="40"/>
        <v>9.9359374999999996</v>
      </c>
      <c r="N59" s="715">
        <f t="shared" si="41"/>
        <v>2.4839843749999999</v>
      </c>
    </row>
    <row r="60" spans="1:18" ht="15">
      <c r="A60" s="865"/>
      <c r="B60" s="865"/>
      <c r="C60" s="719">
        <v>2026006005</v>
      </c>
      <c r="D60" s="719">
        <v>2024006005</v>
      </c>
      <c r="E60" s="721">
        <v>7680</v>
      </c>
      <c r="F60" s="691">
        <f t="shared" si="27"/>
        <v>1995975</v>
      </c>
      <c r="G60" s="691">
        <f t="shared" si="37"/>
        <v>1995795</v>
      </c>
      <c r="H60" s="692">
        <f t="shared" si="32"/>
        <v>2.6936634273560162E-2</v>
      </c>
      <c r="I60" s="692">
        <v>1163</v>
      </c>
      <c r="J60" s="692">
        <v>1280</v>
      </c>
      <c r="K60" s="311" t="str">
        <f t="shared" si="38"/>
        <v/>
      </c>
      <c r="L60" s="311" t="str">
        <f t="shared" si="39"/>
        <v/>
      </c>
      <c r="M60" s="715"/>
      <c r="N60" s="715"/>
    </row>
    <row r="61" spans="1:18" ht="15">
      <c r="A61" s="865"/>
      <c r="B61" s="866"/>
      <c r="C61" s="719">
        <v>2026007024</v>
      </c>
      <c r="D61" s="719">
        <v>2024007024</v>
      </c>
      <c r="E61" s="721">
        <v>7520</v>
      </c>
      <c r="F61" s="691">
        <f t="shared" si="27"/>
        <v>1996994</v>
      </c>
      <c r="G61" s="691">
        <f t="shared" si="37"/>
        <v>1996814</v>
      </c>
      <c r="H61" s="692">
        <f t="shared" si="32"/>
        <v>2.6361994657489382E-2</v>
      </c>
      <c r="I61" s="692">
        <v>1163</v>
      </c>
      <c r="J61" s="692">
        <v>1280</v>
      </c>
      <c r="K61" s="311"/>
      <c r="L61" s="311"/>
      <c r="M61" s="715"/>
      <c r="N61" s="715"/>
    </row>
    <row r="62" spans="1:18" ht="15" hidden="1">
      <c r="A62" s="865"/>
      <c r="B62" s="892">
        <v>1</v>
      </c>
      <c r="C62" s="718">
        <v>2026003028</v>
      </c>
      <c r="D62" s="719">
        <v>2024003028</v>
      </c>
      <c r="E62" s="721"/>
      <c r="F62" s="691">
        <f t="shared" si="27"/>
        <v>1992998</v>
      </c>
      <c r="G62" s="691">
        <f t="shared" si="37"/>
        <v>1992818</v>
      </c>
      <c r="H62" s="692">
        <f t="shared" si="32"/>
        <v>0</v>
      </c>
      <c r="I62" s="692"/>
      <c r="J62" s="692"/>
      <c r="K62" s="311" t="str">
        <f t="shared" ref="K62:K66" si="42">IF(H62-J62&lt;=0,"",H62-J62)</f>
        <v/>
      </c>
      <c r="L62" s="692">
        <f t="shared" ref="L62:L66" si="43">IF(J62*(G62/7)&gt;E62,"",E62-J62*(G62/7))</f>
        <v>0</v>
      </c>
      <c r="M62" s="715" t="e">
        <f t="shared" ref="M62:M66" si="44">E62/J62</f>
        <v>#DIV/0!</v>
      </c>
      <c r="N62" s="715" t="e">
        <f t="shared" ref="N62:N66" si="45">M62/4</f>
        <v>#DIV/0!</v>
      </c>
    </row>
    <row r="63" spans="1:18" ht="15" hidden="1">
      <c r="A63" s="865"/>
      <c r="B63" s="865"/>
      <c r="C63" s="719">
        <v>2026004010</v>
      </c>
      <c r="D63" s="719">
        <v>2024004010</v>
      </c>
      <c r="E63" s="721">
        <v>1560</v>
      </c>
      <c r="F63" s="691">
        <f t="shared" si="27"/>
        <v>1993980</v>
      </c>
      <c r="G63" s="691">
        <f t="shared" si="37"/>
        <v>1993800</v>
      </c>
      <c r="H63" s="692">
        <f t="shared" si="32"/>
        <v>5.4769786337646705E-3</v>
      </c>
      <c r="I63" s="692">
        <v>2060</v>
      </c>
      <c r="J63" s="692">
        <v>2060</v>
      </c>
      <c r="K63" s="311" t="str">
        <f t="shared" si="42"/>
        <v/>
      </c>
      <c r="L63" s="311" t="str">
        <f t="shared" si="43"/>
        <v/>
      </c>
      <c r="M63" s="715">
        <f t="shared" si="44"/>
        <v>0.75728155339805825</v>
      </c>
      <c r="N63" s="715">
        <f t="shared" si="45"/>
        <v>0.18932038834951456</v>
      </c>
    </row>
    <row r="64" spans="1:18" ht="15">
      <c r="A64" s="865"/>
      <c r="B64" s="866"/>
      <c r="C64" s="719">
        <v>2026006005</v>
      </c>
      <c r="D64" s="719">
        <v>2024006005</v>
      </c>
      <c r="E64" s="721">
        <v>12448</v>
      </c>
      <c r="F64" s="691">
        <f t="shared" si="27"/>
        <v>1995975</v>
      </c>
      <c r="G64" s="691">
        <f t="shared" si="37"/>
        <v>1995795</v>
      </c>
      <c r="H64" s="692">
        <f t="shared" si="32"/>
        <v>4.3659794718395428E-2</v>
      </c>
      <c r="I64" s="692">
        <v>1809</v>
      </c>
      <c r="J64" s="692">
        <v>2116</v>
      </c>
      <c r="K64" s="311" t="str">
        <f t="shared" si="42"/>
        <v/>
      </c>
      <c r="L64" s="311" t="str">
        <f t="shared" si="43"/>
        <v/>
      </c>
      <c r="M64" s="715">
        <f t="shared" si="44"/>
        <v>5.8827977315689983</v>
      </c>
      <c r="N64" s="715">
        <f t="shared" si="45"/>
        <v>1.4706994328922496</v>
      </c>
    </row>
    <row r="65" spans="1:14" ht="15" hidden="1">
      <c r="A65" s="865"/>
      <c r="B65" s="892">
        <v>2</v>
      </c>
      <c r="C65" s="718">
        <v>2025008024</v>
      </c>
      <c r="D65" s="719">
        <v>2023008028</v>
      </c>
      <c r="E65" s="721"/>
      <c r="F65" s="691">
        <f t="shared" si="27"/>
        <v>997994</v>
      </c>
      <c r="G65" s="691">
        <f t="shared" si="37"/>
        <v>997814</v>
      </c>
      <c r="H65" s="692">
        <f t="shared" si="32"/>
        <v>0</v>
      </c>
      <c r="I65" s="692"/>
      <c r="J65" s="692"/>
      <c r="K65" s="311" t="str">
        <f t="shared" si="42"/>
        <v/>
      </c>
      <c r="L65" s="692">
        <f t="shared" si="43"/>
        <v>0</v>
      </c>
      <c r="M65" s="715" t="e">
        <f t="shared" si="44"/>
        <v>#DIV/0!</v>
      </c>
      <c r="N65" s="715" t="e">
        <f t="shared" si="45"/>
        <v>#DIV/0!</v>
      </c>
    </row>
    <row r="66" spans="1:14" ht="15">
      <c r="A66" s="865"/>
      <c r="B66" s="865"/>
      <c r="C66" s="719">
        <v>2025011020</v>
      </c>
      <c r="D66" s="719">
        <v>2023011021</v>
      </c>
      <c r="E66" s="721">
        <v>8383</v>
      </c>
      <c r="F66" s="691">
        <f t="shared" si="27"/>
        <v>1000990</v>
      </c>
      <c r="G66" s="691">
        <f t="shared" si="37"/>
        <v>1000810</v>
      </c>
      <c r="H66" s="692">
        <f t="shared" si="32"/>
        <v>5.8633506859443851E-2</v>
      </c>
      <c r="I66" s="692">
        <v>1930</v>
      </c>
      <c r="J66" s="692">
        <v>2011</v>
      </c>
      <c r="K66" s="311" t="str">
        <f t="shared" si="42"/>
        <v/>
      </c>
      <c r="L66" s="311" t="str">
        <f t="shared" si="43"/>
        <v/>
      </c>
      <c r="M66" s="715">
        <f t="shared" si="44"/>
        <v>4.168572849328692</v>
      </c>
      <c r="N66" s="715">
        <f t="shared" si="45"/>
        <v>1.042143212332173</v>
      </c>
    </row>
    <row r="67" spans="1:14" ht="15">
      <c r="A67" s="865"/>
      <c r="B67" s="865"/>
      <c r="C67" s="719">
        <v>2026008006</v>
      </c>
      <c r="D67" s="719">
        <v>2024008006</v>
      </c>
      <c r="E67" s="721">
        <v>768</v>
      </c>
      <c r="F67" s="691">
        <f t="shared" si="27"/>
        <v>1997976</v>
      </c>
      <c r="G67" s="691">
        <f t="shared" si="37"/>
        <v>1997796</v>
      </c>
      <c r="H67" s="692">
        <f t="shared" si="32"/>
        <v>2.6909654439191992E-3</v>
      </c>
      <c r="I67" s="692">
        <v>1930</v>
      </c>
      <c r="J67" s="692">
        <v>2011</v>
      </c>
      <c r="K67" s="311"/>
      <c r="L67" s="311"/>
      <c r="M67" s="715"/>
      <c r="N67" s="715"/>
    </row>
    <row r="68" spans="1:14" ht="15" hidden="1">
      <c r="A68" s="865"/>
      <c r="B68" s="865"/>
      <c r="C68" s="768"/>
      <c r="D68" s="768"/>
      <c r="E68" s="721"/>
      <c r="F68" s="691">
        <f t="shared" si="27"/>
        <v>-2024010030</v>
      </c>
      <c r="G68" s="691">
        <f t="shared" si="37"/>
        <v>-2024010210</v>
      </c>
      <c r="H68" s="692">
        <f t="shared" si="32"/>
        <v>0</v>
      </c>
      <c r="I68" s="692"/>
      <c r="J68" s="692"/>
      <c r="K68" s="311" t="str">
        <f t="shared" ref="K68:K74" si="46">IF(H68-J68&lt;=0,"",H68-J68)</f>
        <v/>
      </c>
      <c r="L68" s="692">
        <f t="shared" ref="L68:L74" si="47">IF(J68*(G68/7)&gt;E68,"",E68-J68*(G68/7))</f>
        <v>0</v>
      </c>
      <c r="M68" s="715" t="e">
        <f t="shared" ref="M68:M71" si="48">E68/J68</f>
        <v>#DIV/0!</v>
      </c>
      <c r="N68" s="715" t="e">
        <f t="shared" ref="N68:N71" si="49">M68/4</f>
        <v>#DIV/0!</v>
      </c>
    </row>
    <row r="69" spans="1:14" ht="15" hidden="1">
      <c r="A69" s="865"/>
      <c r="B69" s="866"/>
      <c r="C69" s="768"/>
      <c r="D69" s="769"/>
      <c r="E69" s="721"/>
      <c r="F69" s="691">
        <f t="shared" si="27"/>
        <v>-2024010030</v>
      </c>
      <c r="G69" s="691">
        <f t="shared" si="37"/>
        <v>-2024010210</v>
      </c>
      <c r="H69" s="692">
        <f t="shared" si="32"/>
        <v>0</v>
      </c>
      <c r="I69" s="692"/>
      <c r="J69" s="692"/>
      <c r="K69" s="311" t="str">
        <f t="shared" si="46"/>
        <v/>
      </c>
      <c r="L69" s="692">
        <f t="shared" si="47"/>
        <v>0</v>
      </c>
      <c r="M69" s="715" t="e">
        <f t="shared" si="48"/>
        <v>#DIV/0!</v>
      </c>
      <c r="N69" s="715" t="e">
        <f t="shared" si="49"/>
        <v>#DIV/0!</v>
      </c>
    </row>
    <row r="70" spans="1:14" ht="15" hidden="1">
      <c r="A70" s="865"/>
      <c r="B70" s="892" t="s">
        <v>295</v>
      </c>
      <c r="C70" s="719">
        <v>2026001030</v>
      </c>
      <c r="D70" s="769"/>
      <c r="E70" s="721"/>
      <c r="F70" s="691">
        <f t="shared" si="27"/>
        <v>1991000</v>
      </c>
      <c r="G70" s="691">
        <f t="shared" si="37"/>
        <v>1990820</v>
      </c>
      <c r="H70" s="692">
        <f t="shared" si="32"/>
        <v>0</v>
      </c>
      <c r="I70" s="692"/>
      <c r="J70" s="692"/>
      <c r="K70" s="311" t="str">
        <f t="shared" si="46"/>
        <v/>
      </c>
      <c r="L70" s="692">
        <f t="shared" si="47"/>
        <v>0</v>
      </c>
      <c r="M70" s="715" t="e">
        <f t="shared" si="48"/>
        <v>#DIV/0!</v>
      </c>
      <c r="N70" s="715" t="e">
        <f t="shared" si="49"/>
        <v>#DIV/0!</v>
      </c>
    </row>
    <row r="71" spans="1:14" ht="15" hidden="1">
      <c r="A71" s="865"/>
      <c r="B71" s="865"/>
      <c r="C71" s="719">
        <v>2026001030</v>
      </c>
      <c r="D71" s="719">
        <v>2024002020</v>
      </c>
      <c r="E71" s="721"/>
      <c r="F71" s="691">
        <f t="shared" si="27"/>
        <v>1991000</v>
      </c>
      <c r="G71" s="691">
        <f t="shared" si="37"/>
        <v>1990820</v>
      </c>
      <c r="H71" s="692">
        <f t="shared" si="32"/>
        <v>0</v>
      </c>
      <c r="I71" s="692"/>
      <c r="J71" s="692"/>
      <c r="K71" s="311" t="str">
        <f t="shared" si="46"/>
        <v/>
      </c>
      <c r="L71" s="692">
        <f t="shared" si="47"/>
        <v>0</v>
      </c>
      <c r="M71" s="715" t="e">
        <f t="shared" si="48"/>
        <v>#DIV/0!</v>
      </c>
      <c r="N71" s="715" t="e">
        <f t="shared" si="49"/>
        <v>#DIV/0!</v>
      </c>
    </row>
    <row r="72" spans="1:14" ht="15">
      <c r="A72" s="866"/>
      <c r="B72" s="866"/>
      <c r="C72" s="719">
        <v>2026002019</v>
      </c>
      <c r="D72" s="719">
        <v>2024002019</v>
      </c>
      <c r="E72" s="721">
        <v>0</v>
      </c>
      <c r="F72" s="691">
        <f t="shared" si="27"/>
        <v>1991989</v>
      </c>
      <c r="G72" s="691">
        <f t="shared" si="37"/>
        <v>1991809</v>
      </c>
      <c r="H72" s="692">
        <f t="shared" si="32"/>
        <v>0</v>
      </c>
      <c r="I72" s="692">
        <v>0</v>
      </c>
      <c r="J72" s="692">
        <v>0</v>
      </c>
      <c r="K72" s="311" t="str">
        <f t="shared" si="46"/>
        <v/>
      </c>
      <c r="L72" s="692">
        <f t="shared" si="47"/>
        <v>0</v>
      </c>
      <c r="M72" s="715"/>
      <c r="N72" s="715"/>
    </row>
    <row r="73" spans="1:14" ht="15">
      <c r="A73" s="985"/>
      <c r="B73" s="770" t="s">
        <v>133</v>
      </c>
      <c r="C73" s="719">
        <v>2025011030</v>
      </c>
      <c r="D73" s="719">
        <v>2024005031</v>
      </c>
      <c r="E73" s="721">
        <v>817</v>
      </c>
      <c r="F73" s="691">
        <f t="shared" si="27"/>
        <v>1001000</v>
      </c>
      <c r="G73" s="691">
        <f t="shared" si="37"/>
        <v>1000820</v>
      </c>
      <c r="H73" s="692">
        <f t="shared" si="32"/>
        <v>5.7143142623049103E-3</v>
      </c>
      <c r="I73" s="692">
        <v>79</v>
      </c>
      <c r="J73" s="692">
        <v>115</v>
      </c>
      <c r="K73" s="311" t="str">
        <f t="shared" si="46"/>
        <v/>
      </c>
      <c r="L73" s="311" t="str">
        <f t="shared" si="47"/>
        <v/>
      </c>
      <c r="M73" s="715">
        <f t="shared" ref="M73:M74" si="50">E73/J73</f>
        <v>7.1043478260869568</v>
      </c>
      <c r="N73" s="715">
        <f t="shared" ref="N73:N74" si="51">M73/4</f>
        <v>1.7760869565217392</v>
      </c>
    </row>
    <row r="74" spans="1:14" ht="15">
      <c r="A74" s="866"/>
      <c r="B74" s="770" t="s">
        <v>134</v>
      </c>
      <c r="C74" s="719">
        <v>2025007006</v>
      </c>
      <c r="D74" s="719">
        <v>2024001005</v>
      </c>
      <c r="E74" s="721">
        <v>154</v>
      </c>
      <c r="F74" s="691">
        <f t="shared" si="27"/>
        <v>996976</v>
      </c>
      <c r="G74" s="691">
        <f t="shared" si="37"/>
        <v>996796</v>
      </c>
      <c r="H74" s="692">
        <f t="shared" si="32"/>
        <v>1.0814650139045502E-3</v>
      </c>
      <c r="I74" s="692">
        <v>36</v>
      </c>
      <c r="J74" s="692">
        <v>44</v>
      </c>
      <c r="K74" s="311" t="str">
        <f t="shared" si="46"/>
        <v/>
      </c>
      <c r="L74" s="311" t="str">
        <f t="shared" si="47"/>
        <v/>
      </c>
      <c r="M74" s="715">
        <f t="shared" si="50"/>
        <v>3.5</v>
      </c>
      <c r="N74" s="715">
        <f t="shared" si="51"/>
        <v>0.875</v>
      </c>
    </row>
    <row r="75" spans="1:14" ht="12.75">
      <c r="A75" s="687"/>
      <c r="B75" s="687"/>
      <c r="C75" s="687"/>
      <c r="D75" s="689"/>
      <c r="E75" s="689">
        <f>SUM(E44:E74)</f>
        <v>74060</v>
      </c>
      <c r="F75" s="709"/>
      <c r="G75" s="709"/>
      <c r="H75" s="709"/>
      <c r="I75" s="709"/>
      <c r="J75" s="709"/>
      <c r="K75" s="687"/>
      <c r="L75" s="689"/>
    </row>
    <row r="76" spans="1:14" ht="12.75">
      <c r="F76" s="75"/>
    </row>
    <row r="77" spans="1:14" ht="12.75">
      <c r="D77" s="7">
        <f>C59-D59</f>
        <v>2000000</v>
      </c>
      <c r="E77" s="7">
        <f>D77/30</f>
        <v>66666.666666666672</v>
      </c>
      <c r="F77" s="75"/>
    </row>
    <row r="78" spans="1:14" ht="12.75">
      <c r="D78" s="7">
        <f>C64-D64</f>
        <v>2000000</v>
      </c>
      <c r="F78" s="75"/>
    </row>
    <row r="79" spans="1:14" ht="12.75">
      <c r="D79" s="7">
        <f>C55-D55</f>
        <v>2000000</v>
      </c>
      <c r="E79" s="7">
        <f>D79/30</f>
        <v>66666.666666666672</v>
      </c>
      <c r="F79" s="75"/>
    </row>
    <row r="80" spans="1:14" ht="12.75">
      <c r="F80" s="75"/>
    </row>
    <row r="81" spans="4:6" ht="12.75">
      <c r="D81" s="7">
        <f>C46-D46</f>
        <v>1006001</v>
      </c>
      <c r="E81" s="7">
        <f t="shared" ref="E81:E82" si="52">D81/30</f>
        <v>33533.366666666669</v>
      </c>
      <c r="F81" s="75"/>
    </row>
    <row r="82" spans="4:6" ht="12.75">
      <c r="D82" s="7">
        <f>C45-D45</f>
        <v>1994001</v>
      </c>
      <c r="E82" s="7">
        <f t="shared" si="52"/>
        <v>66466.7</v>
      </c>
      <c r="F82" s="75"/>
    </row>
    <row r="83" spans="4:6" ht="12.75">
      <c r="F83" s="75"/>
    </row>
    <row r="84" spans="4:6" ht="12.75">
      <c r="F84" s="75"/>
    </row>
    <row r="85" spans="4:6" ht="12.75">
      <c r="F85" s="75"/>
    </row>
    <row r="86" spans="4:6" ht="12.75">
      <c r="F86" s="75"/>
    </row>
    <row r="87" spans="4:6" ht="12.75">
      <c r="F87" s="75"/>
    </row>
    <row r="88" spans="4:6" ht="12.75">
      <c r="F88" s="75"/>
    </row>
    <row r="89" spans="4:6" ht="12.75">
      <c r="F89" s="75"/>
    </row>
    <row r="90" spans="4:6" ht="12.75">
      <c r="F90" s="75"/>
    </row>
    <row r="91" spans="4:6" ht="12.75">
      <c r="F91" s="75"/>
    </row>
    <row r="92" spans="4:6" ht="12.75">
      <c r="F92" s="75"/>
    </row>
    <row r="93" spans="4:6" ht="12.75">
      <c r="F93" s="75"/>
    </row>
    <row r="94" spans="4:6" ht="12.75">
      <c r="F94" s="75"/>
    </row>
    <row r="95" spans="4:6" ht="12.75">
      <c r="F95" s="75"/>
    </row>
    <row r="96" spans="4:6" ht="12.75">
      <c r="F96" s="75"/>
    </row>
    <row r="97" spans="6:6" ht="12.75">
      <c r="F97" s="75"/>
    </row>
    <row r="98" spans="6:6" ht="12.75">
      <c r="F98" s="75"/>
    </row>
    <row r="99" spans="6:6" ht="12.75">
      <c r="F99" s="75"/>
    </row>
    <row r="100" spans="6:6" ht="12.75">
      <c r="F100" s="75"/>
    </row>
    <row r="101" spans="6:6" ht="12.75">
      <c r="F101" s="75"/>
    </row>
    <row r="102" spans="6:6" ht="12.75">
      <c r="F102" s="75"/>
    </row>
    <row r="103" spans="6:6" ht="12.75">
      <c r="F103" s="75"/>
    </row>
    <row r="104" spans="6:6" ht="12.75" hidden="1">
      <c r="F104" s="75"/>
    </row>
    <row r="105" spans="6:6" ht="12.75" hidden="1">
      <c r="F105" s="75"/>
    </row>
    <row r="106" spans="6:6" ht="12.75">
      <c r="F106" s="75"/>
    </row>
    <row r="107" spans="6:6" ht="12.75">
      <c r="F107" s="75"/>
    </row>
    <row r="108" spans="6:6" ht="12.75">
      <c r="F108" s="75"/>
    </row>
    <row r="109" spans="6:6" ht="12.75">
      <c r="F109" s="75"/>
    </row>
    <row r="110" spans="6:6" ht="12.75">
      <c r="F110" s="75"/>
    </row>
    <row r="111" spans="6:6" ht="12.75">
      <c r="F111" s="75"/>
    </row>
    <row r="112" spans="6:6" ht="12.75">
      <c r="F112" s="75"/>
    </row>
    <row r="113" spans="6:6" ht="12.75">
      <c r="F113" s="75"/>
    </row>
    <row r="114" spans="6:6" ht="12.75">
      <c r="F114" s="75"/>
    </row>
    <row r="115" spans="6:6" ht="12.75">
      <c r="F115" s="75"/>
    </row>
    <row r="116" spans="6:6" ht="12.75">
      <c r="F116" s="75"/>
    </row>
    <row r="117" spans="6:6" ht="12.75">
      <c r="F117" s="75"/>
    </row>
    <row r="118" spans="6:6" ht="12.75">
      <c r="F118" s="75"/>
    </row>
    <row r="119" spans="6:6" ht="12.75">
      <c r="F119" s="75"/>
    </row>
    <row r="120" spans="6:6" ht="12.75">
      <c r="F120" s="75"/>
    </row>
    <row r="121" spans="6:6" ht="12.75">
      <c r="F121" s="75"/>
    </row>
    <row r="122" spans="6:6" ht="12.75">
      <c r="F122" s="75"/>
    </row>
    <row r="123" spans="6:6" ht="12.75">
      <c r="F123" s="75"/>
    </row>
    <row r="124" spans="6:6" ht="12.75">
      <c r="F124" s="75"/>
    </row>
    <row r="125" spans="6:6" ht="12.75">
      <c r="F125" s="75"/>
    </row>
    <row r="126" spans="6:6" ht="12.75">
      <c r="F126" s="75"/>
    </row>
    <row r="127" spans="6:6" ht="12.75">
      <c r="F127" s="75"/>
    </row>
    <row r="128" spans="6:6" ht="12.75">
      <c r="F128" s="75"/>
    </row>
    <row r="129" spans="6:6" ht="12.75">
      <c r="F129" s="75"/>
    </row>
    <row r="130" spans="6:6" ht="12.75">
      <c r="F130" s="75"/>
    </row>
    <row r="131" spans="6:6" ht="12.75">
      <c r="F131" s="75"/>
    </row>
    <row r="132" spans="6:6" ht="12.75">
      <c r="F132" s="75"/>
    </row>
    <row r="133" spans="6:6" ht="12.75">
      <c r="F133" s="75"/>
    </row>
    <row r="134" spans="6:6" ht="12.75">
      <c r="F134" s="75"/>
    </row>
    <row r="135" spans="6:6" ht="12.75">
      <c r="F135" s="75"/>
    </row>
    <row r="136" spans="6:6" ht="12.75">
      <c r="F136" s="75"/>
    </row>
    <row r="137" spans="6:6" ht="12.75">
      <c r="F137" s="75"/>
    </row>
    <row r="138" spans="6:6" ht="12.75">
      <c r="F138" s="75"/>
    </row>
    <row r="139" spans="6:6" ht="12.75">
      <c r="F139" s="75"/>
    </row>
    <row r="140" spans="6:6" ht="12.75">
      <c r="F140" s="75"/>
    </row>
    <row r="141" spans="6:6" ht="12.75">
      <c r="F141" s="75"/>
    </row>
    <row r="142" spans="6:6" ht="12.75">
      <c r="F142" s="75"/>
    </row>
    <row r="143" spans="6:6" ht="12.75">
      <c r="F143" s="75"/>
    </row>
    <row r="144" spans="6:6" ht="12.75">
      <c r="F144" s="75"/>
    </row>
    <row r="145" spans="6:6" ht="12.75">
      <c r="F145" s="75"/>
    </row>
    <row r="146" spans="6:6" ht="12.75">
      <c r="F146" s="75"/>
    </row>
    <row r="147" spans="6:6" ht="12.75">
      <c r="F147" s="75"/>
    </row>
    <row r="148" spans="6:6" ht="12.75">
      <c r="F148" s="75"/>
    </row>
    <row r="149" spans="6:6" ht="12.75">
      <c r="F149" s="75"/>
    </row>
    <row r="150" spans="6:6" ht="12.75">
      <c r="F150" s="75"/>
    </row>
    <row r="151" spans="6:6" ht="12.75">
      <c r="F151" s="75"/>
    </row>
    <row r="152" spans="6:6" ht="12.75">
      <c r="F152" s="75"/>
    </row>
    <row r="153" spans="6:6" ht="12.75">
      <c r="F153" s="75"/>
    </row>
    <row r="154" spans="6:6" ht="12.75">
      <c r="F154" s="75"/>
    </row>
    <row r="155" spans="6:6" ht="12.75">
      <c r="F155" s="75"/>
    </row>
    <row r="156" spans="6:6" ht="12.75">
      <c r="F156" s="75"/>
    </row>
    <row r="157" spans="6:6" ht="12.75">
      <c r="F157" s="75"/>
    </row>
    <row r="158" spans="6:6" ht="12.75">
      <c r="F158" s="75"/>
    </row>
    <row r="159" spans="6:6" ht="12.75">
      <c r="F159" s="75"/>
    </row>
    <row r="160" spans="6:6" ht="12.75">
      <c r="F160" s="75"/>
    </row>
    <row r="161" spans="6:6" ht="12.75">
      <c r="F161" s="75"/>
    </row>
    <row r="162" spans="6:6" ht="12.75">
      <c r="F162" s="75"/>
    </row>
    <row r="163" spans="6:6" ht="12.75">
      <c r="F163" s="75"/>
    </row>
    <row r="164" spans="6:6" ht="12.75">
      <c r="F164" s="75"/>
    </row>
    <row r="165" spans="6:6" ht="12.75">
      <c r="F165" s="75"/>
    </row>
    <row r="166" spans="6:6" ht="12.75">
      <c r="F166" s="75"/>
    </row>
    <row r="167" spans="6:6" ht="12.75">
      <c r="F167" s="75"/>
    </row>
    <row r="168" spans="6:6" ht="12.75">
      <c r="F168" s="75"/>
    </row>
    <row r="169" spans="6:6" ht="12.75">
      <c r="F169" s="75"/>
    </row>
    <row r="170" spans="6:6" ht="12.75">
      <c r="F170" s="75"/>
    </row>
    <row r="171" spans="6:6" ht="12.75">
      <c r="F171" s="75"/>
    </row>
    <row r="172" spans="6:6" ht="12.75">
      <c r="F172" s="75"/>
    </row>
    <row r="173" spans="6:6" ht="12.75">
      <c r="F173" s="75"/>
    </row>
    <row r="174" spans="6:6" ht="12.75">
      <c r="F174" s="75"/>
    </row>
    <row r="175" spans="6:6" ht="12.75">
      <c r="F175" s="75"/>
    </row>
    <row r="176" spans="6:6" ht="12.75">
      <c r="F176" s="75"/>
    </row>
    <row r="177" spans="6:6" ht="12.75">
      <c r="F177" s="75"/>
    </row>
    <row r="178" spans="6:6" ht="12.75">
      <c r="F178" s="75"/>
    </row>
    <row r="179" spans="6:6" ht="12.75">
      <c r="F179" s="75"/>
    </row>
    <row r="180" spans="6:6" ht="12.75">
      <c r="F180" s="75"/>
    </row>
    <row r="181" spans="6:6" ht="12.75">
      <c r="F181" s="75"/>
    </row>
    <row r="182" spans="6:6" ht="12.75">
      <c r="F182" s="75"/>
    </row>
    <row r="183" spans="6:6" ht="12.75">
      <c r="F183" s="75"/>
    </row>
    <row r="184" spans="6:6" ht="12.75">
      <c r="F184" s="75"/>
    </row>
    <row r="185" spans="6:6" ht="12.75">
      <c r="F185" s="75"/>
    </row>
    <row r="186" spans="6:6" ht="12.75">
      <c r="F186" s="75"/>
    </row>
    <row r="187" spans="6:6" ht="12.75">
      <c r="F187" s="75"/>
    </row>
    <row r="188" spans="6:6" ht="12.75">
      <c r="F188" s="75"/>
    </row>
    <row r="189" spans="6:6" ht="12.75">
      <c r="F189" s="75"/>
    </row>
    <row r="190" spans="6:6" ht="12.75">
      <c r="F190" s="75"/>
    </row>
    <row r="191" spans="6:6" ht="12.75">
      <c r="F191" s="75"/>
    </row>
    <row r="192" spans="6:6" ht="12.75">
      <c r="F192" s="75"/>
    </row>
    <row r="193" spans="6:6" ht="12.75">
      <c r="F193" s="75"/>
    </row>
    <row r="194" spans="6:6" ht="12.75">
      <c r="F194" s="75"/>
    </row>
    <row r="195" spans="6:6" ht="12.75">
      <c r="F195" s="75"/>
    </row>
    <row r="196" spans="6:6" ht="12.75">
      <c r="F196" s="75"/>
    </row>
    <row r="197" spans="6:6" ht="12.75">
      <c r="F197" s="75"/>
    </row>
    <row r="198" spans="6:6" ht="12.75">
      <c r="F198" s="75"/>
    </row>
    <row r="199" spans="6:6" ht="12.75">
      <c r="F199" s="75"/>
    </row>
    <row r="200" spans="6:6" ht="12.75">
      <c r="F200" s="75"/>
    </row>
    <row r="201" spans="6:6" ht="12.75">
      <c r="F201" s="75"/>
    </row>
    <row r="202" spans="6:6" ht="12.75">
      <c r="F202" s="75"/>
    </row>
    <row r="203" spans="6:6" ht="12.75">
      <c r="F203" s="75"/>
    </row>
    <row r="204" spans="6:6" ht="12.75">
      <c r="F204" s="75"/>
    </row>
    <row r="205" spans="6:6" ht="12.75">
      <c r="F205" s="75"/>
    </row>
    <row r="206" spans="6:6" ht="12.75">
      <c r="F206" s="75"/>
    </row>
    <row r="207" spans="6:6" ht="12.75">
      <c r="F207" s="75"/>
    </row>
    <row r="208" spans="6:6" ht="12.75">
      <c r="F208" s="75"/>
    </row>
    <row r="209" spans="6:6" ht="12.75">
      <c r="F209" s="75"/>
    </row>
    <row r="210" spans="6:6" ht="12.75">
      <c r="F210" s="75"/>
    </row>
    <row r="211" spans="6:6" ht="12.75">
      <c r="F211" s="75"/>
    </row>
    <row r="212" spans="6:6" ht="12.75">
      <c r="F212" s="75"/>
    </row>
    <row r="213" spans="6:6" ht="12.75">
      <c r="F213" s="75"/>
    </row>
    <row r="214" spans="6:6" ht="12.75">
      <c r="F214" s="75"/>
    </row>
    <row r="215" spans="6:6" ht="12.75">
      <c r="F215" s="75"/>
    </row>
    <row r="216" spans="6:6" ht="12.75">
      <c r="F216" s="75"/>
    </row>
    <row r="217" spans="6:6" ht="12.75">
      <c r="F217" s="75"/>
    </row>
    <row r="218" spans="6:6" ht="12.75">
      <c r="F218" s="75"/>
    </row>
    <row r="219" spans="6:6" ht="12.75">
      <c r="F219" s="75"/>
    </row>
    <row r="220" spans="6:6" ht="12.75">
      <c r="F220" s="75"/>
    </row>
    <row r="221" spans="6:6" ht="12.75">
      <c r="F221" s="75"/>
    </row>
    <row r="222" spans="6:6" ht="12.75">
      <c r="F222" s="75"/>
    </row>
    <row r="223" spans="6:6" ht="12.75">
      <c r="F223" s="75"/>
    </row>
    <row r="224" spans="6:6" ht="12.75">
      <c r="F224" s="75"/>
    </row>
    <row r="225" spans="6:6" ht="12.75">
      <c r="F225" s="75"/>
    </row>
    <row r="226" spans="6:6" ht="12.75">
      <c r="F226" s="75"/>
    </row>
    <row r="227" spans="6:6" ht="12.75">
      <c r="F227" s="75"/>
    </row>
    <row r="228" spans="6:6" ht="12.75">
      <c r="F228" s="75"/>
    </row>
    <row r="229" spans="6:6" ht="12.75">
      <c r="F229" s="75"/>
    </row>
    <row r="230" spans="6:6" ht="12.75">
      <c r="F230" s="75"/>
    </row>
    <row r="231" spans="6:6" ht="12.75">
      <c r="F231" s="75"/>
    </row>
    <row r="232" spans="6:6" ht="12.75">
      <c r="F232" s="75"/>
    </row>
    <row r="233" spans="6:6" ht="12.75">
      <c r="F233" s="75"/>
    </row>
    <row r="234" spans="6:6" ht="12.75">
      <c r="F234" s="75"/>
    </row>
    <row r="235" spans="6:6" ht="12.75">
      <c r="F235" s="75"/>
    </row>
    <row r="236" spans="6:6" ht="12.75">
      <c r="F236" s="75"/>
    </row>
    <row r="237" spans="6:6" ht="12.75">
      <c r="F237" s="75"/>
    </row>
    <row r="238" spans="6:6" ht="12.75">
      <c r="F238" s="75"/>
    </row>
    <row r="239" spans="6:6" ht="12.75">
      <c r="F239" s="75"/>
    </row>
    <row r="240" spans="6:6" ht="12.75">
      <c r="F240" s="75"/>
    </row>
    <row r="241" spans="6:6" ht="12.75">
      <c r="F241" s="75"/>
    </row>
    <row r="242" spans="6:6" ht="12.75">
      <c r="F242" s="75"/>
    </row>
    <row r="243" spans="6:6" ht="12.75">
      <c r="F243" s="75"/>
    </row>
    <row r="244" spans="6:6" ht="12.75">
      <c r="F244" s="75"/>
    </row>
    <row r="245" spans="6:6" ht="12.75">
      <c r="F245" s="75"/>
    </row>
    <row r="246" spans="6:6" ht="12.75">
      <c r="F246" s="75"/>
    </row>
    <row r="247" spans="6:6" ht="12.75">
      <c r="F247" s="75"/>
    </row>
    <row r="248" spans="6:6" ht="12.75">
      <c r="F248" s="75"/>
    </row>
    <row r="249" spans="6:6" ht="12.75">
      <c r="F249" s="75"/>
    </row>
    <row r="250" spans="6:6" ht="12.75">
      <c r="F250" s="75"/>
    </row>
    <row r="251" spans="6:6" ht="12.75">
      <c r="F251" s="75"/>
    </row>
    <row r="252" spans="6:6" ht="12.75">
      <c r="F252" s="75"/>
    </row>
    <row r="253" spans="6:6" ht="12.75">
      <c r="F253" s="75"/>
    </row>
    <row r="254" spans="6:6" ht="12.75">
      <c r="F254" s="75"/>
    </row>
    <row r="255" spans="6:6" ht="12.75">
      <c r="F255" s="75"/>
    </row>
    <row r="256" spans="6:6" ht="12.75">
      <c r="F256" s="75"/>
    </row>
    <row r="257" spans="6:6" ht="12.75">
      <c r="F257" s="75"/>
    </row>
    <row r="258" spans="6:6" ht="12.75">
      <c r="F258" s="75"/>
    </row>
    <row r="259" spans="6:6" ht="12.75">
      <c r="F259" s="75"/>
    </row>
    <row r="260" spans="6:6" ht="12.75">
      <c r="F260" s="75"/>
    </row>
    <row r="261" spans="6:6" ht="12.75">
      <c r="F261" s="75"/>
    </row>
    <row r="262" spans="6:6" ht="12.75">
      <c r="F262" s="75"/>
    </row>
    <row r="263" spans="6:6" ht="12.75">
      <c r="F263" s="75"/>
    </row>
    <row r="264" spans="6:6" ht="12.75">
      <c r="F264" s="75"/>
    </row>
    <row r="265" spans="6:6" ht="12.75">
      <c r="F265" s="75"/>
    </row>
    <row r="266" spans="6:6" ht="12.75">
      <c r="F266" s="75"/>
    </row>
    <row r="267" spans="6:6" ht="12.75">
      <c r="F267" s="75"/>
    </row>
    <row r="268" spans="6:6" ht="12.75">
      <c r="F268" s="75"/>
    </row>
    <row r="269" spans="6:6" ht="12.75">
      <c r="F269" s="75"/>
    </row>
    <row r="270" spans="6:6" ht="12.75">
      <c r="F270" s="75"/>
    </row>
    <row r="271" spans="6:6" ht="12.75">
      <c r="F271" s="75"/>
    </row>
    <row r="272" spans="6:6" ht="12.75">
      <c r="F272" s="75"/>
    </row>
    <row r="273" spans="6:6" ht="12.75">
      <c r="F273" s="75"/>
    </row>
    <row r="274" spans="6:6" ht="12.75">
      <c r="F274" s="75"/>
    </row>
    <row r="275" spans="6:6" ht="12.75">
      <c r="F275" s="75"/>
    </row>
    <row r="276" spans="6:6" ht="12.75">
      <c r="F276" s="75"/>
    </row>
    <row r="277" spans="6:6" ht="12.75">
      <c r="F277" s="75"/>
    </row>
    <row r="278" spans="6:6" ht="12.75">
      <c r="F278" s="75"/>
    </row>
    <row r="279" spans="6:6" ht="12.75">
      <c r="F279" s="75"/>
    </row>
    <row r="280" spans="6:6" ht="12.75">
      <c r="F280" s="75"/>
    </row>
    <row r="281" spans="6:6" ht="12.75">
      <c r="F281" s="75"/>
    </row>
    <row r="282" spans="6:6" ht="12.75">
      <c r="F282" s="75"/>
    </row>
    <row r="283" spans="6:6" ht="12.75">
      <c r="F283" s="75"/>
    </row>
    <row r="284" spans="6:6" ht="12.75">
      <c r="F284" s="75"/>
    </row>
    <row r="285" spans="6:6" ht="12.75">
      <c r="F285" s="75"/>
    </row>
    <row r="286" spans="6:6" ht="12.75">
      <c r="F286" s="75"/>
    </row>
    <row r="287" spans="6:6" ht="12.75">
      <c r="F287" s="75"/>
    </row>
    <row r="288" spans="6:6" ht="12.75">
      <c r="F288" s="75"/>
    </row>
    <row r="289" spans="6:6" ht="12.75">
      <c r="F289" s="75"/>
    </row>
    <row r="290" spans="6:6" ht="12.75">
      <c r="F290" s="75"/>
    </row>
    <row r="291" spans="6:6" ht="12.75">
      <c r="F291" s="75"/>
    </row>
    <row r="292" spans="6:6" ht="12.75">
      <c r="F292" s="75"/>
    </row>
    <row r="293" spans="6:6" ht="12.75">
      <c r="F293" s="75"/>
    </row>
    <row r="294" spans="6:6" ht="12.75">
      <c r="F294" s="75"/>
    </row>
    <row r="295" spans="6:6" ht="12.75">
      <c r="F295" s="75"/>
    </row>
    <row r="296" spans="6:6" ht="12.75">
      <c r="F296" s="75"/>
    </row>
    <row r="297" spans="6:6" ht="12.75">
      <c r="F297" s="75"/>
    </row>
    <row r="298" spans="6:6" ht="12.75">
      <c r="F298" s="75"/>
    </row>
    <row r="299" spans="6:6" ht="12.75">
      <c r="F299" s="75"/>
    </row>
    <row r="300" spans="6:6" ht="12.75">
      <c r="F300" s="75"/>
    </row>
    <row r="301" spans="6:6" ht="12.75">
      <c r="F301" s="75"/>
    </row>
    <row r="302" spans="6:6" ht="12.75">
      <c r="F302" s="75"/>
    </row>
    <row r="303" spans="6:6" ht="12.75">
      <c r="F303" s="75"/>
    </row>
    <row r="304" spans="6:6" ht="12.75">
      <c r="F304" s="75"/>
    </row>
    <row r="305" spans="6:6" ht="12.75">
      <c r="F305" s="75"/>
    </row>
    <row r="306" spans="6:6" ht="12.75">
      <c r="F306" s="75"/>
    </row>
    <row r="307" spans="6:6" ht="12.75">
      <c r="F307" s="75"/>
    </row>
    <row r="308" spans="6:6" ht="12.75">
      <c r="F308" s="75"/>
    </row>
    <row r="309" spans="6:6" ht="12.75">
      <c r="F309" s="75"/>
    </row>
    <row r="310" spans="6:6" ht="12.75">
      <c r="F310" s="75"/>
    </row>
    <row r="311" spans="6:6" ht="12.75">
      <c r="F311" s="75"/>
    </row>
    <row r="312" spans="6:6" ht="12.75">
      <c r="F312" s="75"/>
    </row>
    <row r="313" spans="6:6" ht="12.75">
      <c r="F313" s="75"/>
    </row>
    <row r="314" spans="6:6" ht="12.75">
      <c r="F314" s="75"/>
    </row>
    <row r="315" spans="6:6" ht="12.75">
      <c r="F315" s="75"/>
    </row>
    <row r="316" spans="6:6" ht="12.75">
      <c r="F316" s="75"/>
    </row>
    <row r="317" spans="6:6" ht="12.75">
      <c r="F317" s="75"/>
    </row>
    <row r="318" spans="6:6" ht="12.75">
      <c r="F318" s="75"/>
    </row>
    <row r="319" spans="6:6" ht="12.75">
      <c r="F319" s="75"/>
    </row>
    <row r="320" spans="6:6" ht="12.75">
      <c r="F320" s="75"/>
    </row>
    <row r="321" spans="6:6" ht="12.75">
      <c r="F321" s="75"/>
    </row>
    <row r="322" spans="6:6" ht="12.75">
      <c r="F322" s="75"/>
    </row>
    <row r="323" spans="6:6" ht="12.75">
      <c r="F323" s="75"/>
    </row>
    <row r="324" spans="6:6" ht="12.75">
      <c r="F324" s="75"/>
    </row>
    <row r="325" spans="6:6" ht="12.75">
      <c r="F325" s="75"/>
    </row>
    <row r="326" spans="6:6" ht="12.75">
      <c r="F326" s="75"/>
    </row>
    <row r="327" spans="6:6" ht="12.75">
      <c r="F327" s="75"/>
    </row>
    <row r="328" spans="6:6" ht="12.75">
      <c r="F328" s="75"/>
    </row>
    <row r="329" spans="6:6" ht="12.75">
      <c r="F329" s="75"/>
    </row>
    <row r="330" spans="6:6" ht="12.75">
      <c r="F330" s="75"/>
    </row>
    <row r="331" spans="6:6" ht="12.75">
      <c r="F331" s="75"/>
    </row>
    <row r="332" spans="6:6" ht="12.75">
      <c r="F332" s="75"/>
    </row>
    <row r="333" spans="6:6" ht="12.75">
      <c r="F333" s="75"/>
    </row>
    <row r="334" spans="6:6" ht="12.75">
      <c r="F334" s="75"/>
    </row>
    <row r="335" spans="6:6" ht="12.75">
      <c r="F335" s="75"/>
    </row>
    <row r="336" spans="6:6" ht="12.75">
      <c r="F336" s="75"/>
    </row>
    <row r="337" spans="6:6" ht="12.75">
      <c r="F337" s="75"/>
    </row>
    <row r="338" spans="6:6" ht="12.75">
      <c r="F338" s="75"/>
    </row>
    <row r="339" spans="6:6" ht="12.75">
      <c r="F339" s="75"/>
    </row>
    <row r="340" spans="6:6" ht="12.75">
      <c r="F340" s="75"/>
    </row>
    <row r="341" spans="6:6" ht="12.75">
      <c r="F341" s="75"/>
    </row>
    <row r="342" spans="6:6" ht="12.75">
      <c r="F342" s="75"/>
    </row>
    <row r="343" spans="6:6" ht="12.75">
      <c r="F343" s="75"/>
    </row>
    <row r="344" spans="6:6" ht="12.75">
      <c r="F344" s="75"/>
    </row>
    <row r="345" spans="6:6" ht="12.75">
      <c r="F345" s="75"/>
    </row>
    <row r="346" spans="6:6" ht="12.75">
      <c r="F346" s="75"/>
    </row>
    <row r="347" spans="6:6" ht="12.75">
      <c r="F347" s="75"/>
    </row>
    <row r="348" spans="6:6" ht="12.75">
      <c r="F348" s="75"/>
    </row>
    <row r="349" spans="6:6" ht="12.75">
      <c r="F349" s="75"/>
    </row>
    <row r="350" spans="6:6" ht="12.75">
      <c r="F350" s="75"/>
    </row>
    <row r="351" spans="6:6" ht="12.75">
      <c r="F351" s="75"/>
    </row>
    <row r="352" spans="6:6" ht="12.75">
      <c r="F352" s="75"/>
    </row>
    <row r="353" spans="6:6" ht="12.75">
      <c r="F353" s="75"/>
    </row>
    <row r="354" spans="6:6" ht="12.75">
      <c r="F354" s="75"/>
    </row>
    <row r="355" spans="6:6" ht="12.75">
      <c r="F355" s="75"/>
    </row>
    <row r="356" spans="6:6" ht="12.75">
      <c r="F356" s="75"/>
    </row>
    <row r="357" spans="6:6" ht="12.75">
      <c r="F357" s="75"/>
    </row>
    <row r="358" spans="6:6" ht="12.75">
      <c r="F358" s="75"/>
    </row>
    <row r="359" spans="6:6" ht="12.75">
      <c r="F359" s="75"/>
    </row>
    <row r="360" spans="6:6" ht="12.75">
      <c r="F360" s="75"/>
    </row>
    <row r="361" spans="6:6" ht="12.75">
      <c r="F361" s="75"/>
    </row>
    <row r="362" spans="6:6" ht="12.75">
      <c r="F362" s="75"/>
    </row>
    <row r="363" spans="6:6" ht="12.75">
      <c r="F363" s="75"/>
    </row>
    <row r="364" spans="6:6" ht="12.75">
      <c r="F364" s="75"/>
    </row>
    <row r="365" spans="6:6" ht="12.75">
      <c r="F365" s="75"/>
    </row>
    <row r="366" spans="6:6" ht="12.75">
      <c r="F366" s="75"/>
    </row>
    <row r="367" spans="6:6" ht="12.75">
      <c r="F367" s="75"/>
    </row>
    <row r="368" spans="6:6" ht="12.75">
      <c r="F368" s="75"/>
    </row>
    <row r="369" spans="6:6" ht="12.75">
      <c r="F369" s="75"/>
    </row>
    <row r="370" spans="6:6" ht="12.75">
      <c r="F370" s="75"/>
    </row>
    <row r="371" spans="6:6" ht="12.75">
      <c r="F371" s="75"/>
    </row>
    <row r="372" spans="6:6" ht="12.75">
      <c r="F372" s="75"/>
    </row>
    <row r="373" spans="6:6" ht="12.75">
      <c r="F373" s="75"/>
    </row>
    <row r="374" spans="6:6" ht="12.75">
      <c r="F374" s="75"/>
    </row>
    <row r="375" spans="6:6" ht="12.75">
      <c r="F375" s="75"/>
    </row>
    <row r="376" spans="6:6" ht="12.75">
      <c r="F376" s="75"/>
    </row>
    <row r="377" spans="6:6" ht="12.75">
      <c r="F377" s="75"/>
    </row>
    <row r="378" spans="6:6" ht="12.75">
      <c r="F378" s="75"/>
    </row>
    <row r="379" spans="6:6" ht="12.75">
      <c r="F379" s="75"/>
    </row>
    <row r="380" spans="6:6" ht="12.75">
      <c r="F380" s="75"/>
    </row>
    <row r="381" spans="6:6" ht="12.75">
      <c r="F381" s="75"/>
    </row>
    <row r="382" spans="6:6" ht="12.75">
      <c r="F382" s="75"/>
    </row>
    <row r="383" spans="6:6" ht="12.75">
      <c r="F383" s="75"/>
    </row>
    <row r="384" spans="6:6" ht="12.75">
      <c r="F384" s="75"/>
    </row>
    <row r="385" spans="6:6" ht="12.75">
      <c r="F385" s="75"/>
    </row>
    <row r="386" spans="6:6" ht="12.75">
      <c r="F386" s="75"/>
    </row>
    <row r="387" spans="6:6" ht="12.75">
      <c r="F387" s="75"/>
    </row>
    <row r="388" spans="6:6" ht="12.75">
      <c r="F388" s="75"/>
    </row>
    <row r="389" spans="6:6" ht="12.75">
      <c r="F389" s="75"/>
    </row>
    <row r="390" spans="6:6" ht="12.75">
      <c r="F390" s="75"/>
    </row>
    <row r="391" spans="6:6" ht="12.75">
      <c r="F391" s="75"/>
    </row>
    <row r="392" spans="6:6" ht="12.75">
      <c r="F392" s="75"/>
    </row>
    <row r="393" spans="6:6" ht="12.75">
      <c r="F393" s="75"/>
    </row>
    <row r="394" spans="6:6" ht="12.75">
      <c r="F394" s="75"/>
    </row>
    <row r="395" spans="6:6" ht="12.75">
      <c r="F395" s="75"/>
    </row>
    <row r="396" spans="6:6" ht="12.75">
      <c r="F396" s="75"/>
    </row>
    <row r="397" spans="6:6" ht="12.75">
      <c r="F397" s="75"/>
    </row>
    <row r="398" spans="6:6" ht="12.75">
      <c r="F398" s="75"/>
    </row>
    <row r="399" spans="6:6" ht="12.75">
      <c r="F399" s="75"/>
    </row>
    <row r="400" spans="6:6" ht="12.75">
      <c r="F400" s="75"/>
    </row>
    <row r="401" spans="6:6" ht="12.75">
      <c r="F401" s="75"/>
    </row>
    <row r="402" spans="6:6" ht="12.75">
      <c r="F402" s="75"/>
    </row>
    <row r="403" spans="6:6" ht="12.75">
      <c r="F403" s="75"/>
    </row>
    <row r="404" spans="6:6" ht="12.75">
      <c r="F404" s="75"/>
    </row>
    <row r="405" spans="6:6" ht="12.75">
      <c r="F405" s="75"/>
    </row>
    <row r="406" spans="6:6" ht="12.75">
      <c r="F406" s="75"/>
    </row>
    <row r="407" spans="6:6" ht="12.75">
      <c r="F407" s="75"/>
    </row>
    <row r="408" spans="6:6" ht="12.75">
      <c r="F408" s="75"/>
    </row>
    <row r="409" spans="6:6" ht="12.75">
      <c r="F409" s="75"/>
    </row>
    <row r="410" spans="6:6" ht="12.75">
      <c r="F410" s="75"/>
    </row>
    <row r="411" spans="6:6" ht="12.75">
      <c r="F411" s="75"/>
    </row>
    <row r="412" spans="6:6" ht="12.75">
      <c r="F412" s="75"/>
    </row>
    <row r="413" spans="6:6" ht="12.75">
      <c r="F413" s="75"/>
    </row>
    <row r="414" spans="6:6" ht="12.75">
      <c r="F414" s="75"/>
    </row>
    <row r="415" spans="6:6" ht="12.75">
      <c r="F415" s="75"/>
    </row>
    <row r="416" spans="6:6" ht="12.75">
      <c r="F416" s="75"/>
    </row>
    <row r="417" spans="6:6" ht="12.75">
      <c r="F417" s="75"/>
    </row>
    <row r="418" spans="6:6" ht="12.75">
      <c r="F418" s="75"/>
    </row>
    <row r="419" spans="6:6" ht="12.75">
      <c r="F419" s="75"/>
    </row>
    <row r="420" spans="6:6" ht="12.75">
      <c r="F420" s="75"/>
    </row>
    <row r="421" spans="6:6" ht="12.75">
      <c r="F421" s="75"/>
    </row>
    <row r="422" spans="6:6" ht="12.75">
      <c r="F422" s="75"/>
    </row>
    <row r="423" spans="6:6" ht="12.75">
      <c r="F423" s="75"/>
    </row>
    <row r="424" spans="6:6" ht="12.75">
      <c r="F424" s="75"/>
    </row>
    <row r="425" spans="6:6" ht="12.75">
      <c r="F425" s="75"/>
    </row>
    <row r="426" spans="6:6" ht="12.75">
      <c r="F426" s="75"/>
    </row>
    <row r="427" spans="6:6" ht="12.75">
      <c r="F427" s="75"/>
    </row>
    <row r="428" spans="6:6" ht="12.75">
      <c r="F428" s="75"/>
    </row>
    <row r="429" spans="6:6" ht="12.75">
      <c r="F429" s="75"/>
    </row>
    <row r="430" spans="6:6" ht="12.75">
      <c r="F430" s="75"/>
    </row>
    <row r="431" spans="6:6" ht="12.75">
      <c r="F431" s="75"/>
    </row>
    <row r="432" spans="6:6" ht="12.75">
      <c r="F432" s="75"/>
    </row>
    <row r="433" spans="6:6" ht="12.75">
      <c r="F433" s="75"/>
    </row>
    <row r="434" spans="6:6" ht="12.75">
      <c r="F434" s="75"/>
    </row>
    <row r="435" spans="6:6" ht="12.75">
      <c r="F435" s="75"/>
    </row>
    <row r="436" spans="6:6" ht="12.75">
      <c r="F436" s="75"/>
    </row>
    <row r="437" spans="6:6" ht="12.75">
      <c r="F437" s="75"/>
    </row>
    <row r="438" spans="6:6" ht="12.75">
      <c r="F438" s="75"/>
    </row>
    <row r="439" spans="6:6" ht="12.75">
      <c r="F439" s="75"/>
    </row>
    <row r="440" spans="6:6" ht="12.75">
      <c r="F440" s="75"/>
    </row>
    <row r="441" spans="6:6" ht="12.75">
      <c r="F441" s="75"/>
    </row>
    <row r="442" spans="6:6" ht="12.75">
      <c r="F442" s="75"/>
    </row>
    <row r="443" spans="6:6" ht="12.75">
      <c r="F443" s="75"/>
    </row>
    <row r="444" spans="6:6" ht="12.75">
      <c r="F444" s="75"/>
    </row>
    <row r="445" spans="6:6" ht="12.75">
      <c r="F445" s="75"/>
    </row>
    <row r="446" spans="6:6" ht="12.75">
      <c r="F446" s="75"/>
    </row>
    <row r="447" spans="6:6" ht="12.75">
      <c r="F447" s="75"/>
    </row>
    <row r="448" spans="6:6" ht="12.75">
      <c r="F448" s="75"/>
    </row>
    <row r="449" spans="6:6" ht="12.75">
      <c r="F449" s="75"/>
    </row>
    <row r="450" spans="6:6" ht="12.75">
      <c r="F450" s="75"/>
    </row>
    <row r="451" spans="6:6" ht="12.75">
      <c r="F451" s="75"/>
    </row>
    <row r="452" spans="6:6" ht="12.75">
      <c r="F452" s="75"/>
    </row>
    <row r="453" spans="6:6" ht="12.75">
      <c r="F453" s="75"/>
    </row>
    <row r="454" spans="6:6" ht="12.75">
      <c r="F454" s="75"/>
    </row>
    <row r="455" spans="6:6" ht="12.75">
      <c r="F455" s="75"/>
    </row>
    <row r="456" spans="6:6" ht="12.75">
      <c r="F456" s="75"/>
    </row>
    <row r="457" spans="6:6" ht="12.75">
      <c r="F457" s="75"/>
    </row>
    <row r="458" spans="6:6" ht="12.75">
      <c r="F458" s="75"/>
    </row>
    <row r="459" spans="6:6" ht="12.75">
      <c r="F459" s="75"/>
    </row>
    <row r="460" spans="6:6" ht="12.75">
      <c r="F460" s="75"/>
    </row>
    <row r="461" spans="6:6" ht="12.75">
      <c r="F461" s="75"/>
    </row>
    <row r="462" spans="6:6" ht="12.75">
      <c r="F462" s="75"/>
    </row>
    <row r="463" spans="6:6" ht="12.75">
      <c r="F463" s="75"/>
    </row>
    <row r="464" spans="6:6" ht="12.75">
      <c r="F464" s="75"/>
    </row>
    <row r="465" spans="6:6" ht="12.75">
      <c r="F465" s="75"/>
    </row>
    <row r="466" spans="6:6" ht="12.75">
      <c r="F466" s="75"/>
    </row>
    <row r="467" spans="6:6" ht="12.75">
      <c r="F467" s="75"/>
    </row>
    <row r="468" spans="6:6" ht="12.75">
      <c r="F468" s="75"/>
    </row>
    <row r="469" spans="6:6" ht="12.75">
      <c r="F469" s="75"/>
    </row>
    <row r="470" spans="6:6" ht="12.75">
      <c r="F470" s="75"/>
    </row>
    <row r="471" spans="6:6" ht="12.75">
      <c r="F471" s="75"/>
    </row>
    <row r="472" spans="6:6" ht="12.75">
      <c r="F472" s="75"/>
    </row>
    <row r="473" spans="6:6" ht="12.75">
      <c r="F473" s="75"/>
    </row>
    <row r="474" spans="6:6" ht="12.75">
      <c r="F474" s="75"/>
    </row>
    <row r="475" spans="6:6" ht="12.75">
      <c r="F475" s="75"/>
    </row>
    <row r="476" spans="6:6" ht="12.75">
      <c r="F476" s="75"/>
    </row>
    <row r="477" spans="6:6" ht="12.75">
      <c r="F477" s="75"/>
    </row>
    <row r="478" spans="6:6" ht="12.75">
      <c r="F478" s="75"/>
    </row>
    <row r="479" spans="6:6" ht="12.75">
      <c r="F479" s="75"/>
    </row>
    <row r="480" spans="6:6" ht="12.75">
      <c r="F480" s="75"/>
    </row>
    <row r="481" spans="6:6" ht="12.75">
      <c r="F481" s="75"/>
    </row>
    <row r="482" spans="6:6" ht="12.75">
      <c r="F482" s="75"/>
    </row>
    <row r="483" spans="6:6" ht="12.75">
      <c r="F483" s="75"/>
    </row>
    <row r="484" spans="6:6" ht="12.75">
      <c r="F484" s="75"/>
    </row>
    <row r="485" spans="6:6" ht="12.75">
      <c r="F485" s="75"/>
    </row>
    <row r="486" spans="6:6" ht="12.75">
      <c r="F486" s="75"/>
    </row>
    <row r="487" spans="6:6" ht="12.75">
      <c r="F487" s="75"/>
    </row>
    <row r="488" spans="6:6" ht="12.75">
      <c r="F488" s="75"/>
    </row>
    <row r="489" spans="6:6" ht="12.75">
      <c r="F489" s="75"/>
    </row>
    <row r="490" spans="6:6" ht="12.75">
      <c r="F490" s="75"/>
    </row>
    <row r="491" spans="6:6" ht="12.75">
      <c r="F491" s="75"/>
    </row>
    <row r="492" spans="6:6" ht="12.75">
      <c r="F492" s="75"/>
    </row>
    <row r="493" spans="6:6" ht="12.75">
      <c r="F493" s="75"/>
    </row>
    <row r="494" spans="6:6" ht="12.75">
      <c r="F494" s="75"/>
    </row>
    <row r="495" spans="6:6" ht="12.75">
      <c r="F495" s="75"/>
    </row>
    <row r="496" spans="6:6" ht="12.75">
      <c r="F496" s="75"/>
    </row>
    <row r="497" spans="6:6" ht="12.75">
      <c r="F497" s="75"/>
    </row>
    <row r="498" spans="6:6" ht="12.75">
      <c r="F498" s="75"/>
    </row>
    <row r="499" spans="6:6" ht="12.75">
      <c r="F499" s="75"/>
    </row>
    <row r="500" spans="6:6" ht="12.75">
      <c r="F500" s="75"/>
    </row>
    <row r="501" spans="6:6" ht="12.75">
      <c r="F501" s="75"/>
    </row>
    <row r="502" spans="6:6" ht="12.75">
      <c r="F502" s="75"/>
    </row>
    <row r="503" spans="6:6" ht="12.75">
      <c r="F503" s="75"/>
    </row>
    <row r="504" spans="6:6" ht="12.75">
      <c r="F504" s="75"/>
    </row>
    <row r="505" spans="6:6" ht="12.75">
      <c r="F505" s="75"/>
    </row>
    <row r="506" spans="6:6" ht="12.75">
      <c r="F506" s="75"/>
    </row>
    <row r="507" spans="6:6" ht="12.75">
      <c r="F507" s="75"/>
    </row>
    <row r="508" spans="6:6" ht="12.75">
      <c r="F508" s="75"/>
    </row>
    <row r="509" spans="6:6" ht="12.75">
      <c r="F509" s="75"/>
    </row>
    <row r="510" spans="6:6" ht="12.75">
      <c r="F510" s="75"/>
    </row>
    <row r="511" spans="6:6" ht="12.75">
      <c r="F511" s="75"/>
    </row>
    <row r="512" spans="6:6" ht="12.75">
      <c r="F512" s="75"/>
    </row>
    <row r="513" spans="6:6" ht="12.75">
      <c r="F513" s="75"/>
    </row>
    <row r="514" spans="6:6" ht="12.75">
      <c r="F514" s="75"/>
    </row>
    <row r="515" spans="6:6" ht="12.75">
      <c r="F515" s="75"/>
    </row>
    <row r="516" spans="6:6" ht="12.75">
      <c r="F516" s="75"/>
    </row>
    <row r="517" spans="6:6" ht="12.75">
      <c r="F517" s="75"/>
    </row>
    <row r="518" spans="6:6" ht="12.75">
      <c r="F518" s="75"/>
    </row>
    <row r="519" spans="6:6" ht="12.75">
      <c r="F519" s="75"/>
    </row>
    <row r="520" spans="6:6" ht="12.75">
      <c r="F520" s="75"/>
    </row>
    <row r="521" spans="6:6" ht="12.75">
      <c r="F521" s="75"/>
    </row>
    <row r="522" spans="6:6" ht="12.75">
      <c r="F522" s="75"/>
    </row>
    <row r="523" spans="6:6" ht="12.75">
      <c r="F523" s="75"/>
    </row>
    <row r="524" spans="6:6" ht="12.75">
      <c r="F524" s="75"/>
    </row>
    <row r="525" spans="6:6" ht="12.75">
      <c r="F525" s="75"/>
    </row>
    <row r="526" spans="6:6" ht="12.75">
      <c r="F526" s="75"/>
    </row>
    <row r="527" spans="6:6" ht="12.75">
      <c r="F527" s="75"/>
    </row>
    <row r="528" spans="6:6" ht="12.75">
      <c r="F528" s="75"/>
    </row>
    <row r="529" spans="6:6" ht="12.75">
      <c r="F529" s="75"/>
    </row>
    <row r="530" spans="6:6" ht="12.75">
      <c r="F530" s="75"/>
    </row>
    <row r="531" spans="6:6" ht="12.75">
      <c r="F531" s="75"/>
    </row>
    <row r="532" spans="6:6" ht="12.75">
      <c r="F532" s="75"/>
    </row>
    <row r="533" spans="6:6" ht="12.75">
      <c r="F533" s="75"/>
    </row>
    <row r="534" spans="6:6" ht="12.75">
      <c r="F534" s="75"/>
    </row>
    <row r="535" spans="6:6" ht="12.75">
      <c r="F535" s="75"/>
    </row>
    <row r="536" spans="6:6" ht="12.75">
      <c r="F536" s="75"/>
    </row>
    <row r="537" spans="6:6" ht="12.75">
      <c r="F537" s="75"/>
    </row>
    <row r="538" spans="6:6" ht="12.75">
      <c r="F538" s="75"/>
    </row>
    <row r="539" spans="6:6" ht="12.75">
      <c r="F539" s="75"/>
    </row>
    <row r="540" spans="6:6" ht="12.75">
      <c r="F540" s="75"/>
    </row>
    <row r="541" spans="6:6" ht="12.75">
      <c r="F541" s="75"/>
    </row>
    <row r="542" spans="6:6" ht="12.75">
      <c r="F542" s="75"/>
    </row>
    <row r="543" spans="6:6" ht="12.75">
      <c r="F543" s="75"/>
    </row>
    <row r="544" spans="6:6" ht="12.75">
      <c r="F544" s="75"/>
    </row>
    <row r="545" spans="6:6" ht="12.75">
      <c r="F545" s="75"/>
    </row>
    <row r="546" spans="6:6" ht="12.75">
      <c r="F546" s="75"/>
    </row>
    <row r="547" spans="6:6" ht="12.75">
      <c r="F547" s="75"/>
    </row>
    <row r="548" spans="6:6" ht="12.75">
      <c r="F548" s="75"/>
    </row>
    <row r="549" spans="6:6" ht="12.75">
      <c r="F549" s="75"/>
    </row>
    <row r="550" spans="6:6" ht="12.75">
      <c r="F550" s="75"/>
    </row>
    <row r="551" spans="6:6" ht="12.75">
      <c r="F551" s="75"/>
    </row>
    <row r="552" spans="6:6" ht="12.75">
      <c r="F552" s="75"/>
    </row>
    <row r="553" spans="6:6" ht="12.75">
      <c r="F553" s="75"/>
    </row>
    <row r="554" spans="6:6" ht="12.75">
      <c r="F554" s="75"/>
    </row>
    <row r="555" spans="6:6" ht="12.75">
      <c r="F555" s="75"/>
    </row>
    <row r="556" spans="6:6" ht="12.75">
      <c r="F556" s="75"/>
    </row>
    <row r="557" spans="6:6" ht="12.75">
      <c r="F557" s="75"/>
    </row>
    <row r="558" spans="6:6" ht="12.75">
      <c r="F558" s="75"/>
    </row>
    <row r="559" spans="6:6" ht="12.75">
      <c r="F559" s="75"/>
    </row>
    <row r="560" spans="6:6" ht="12.75">
      <c r="F560" s="75"/>
    </row>
    <row r="561" spans="6:6" ht="12.75">
      <c r="F561" s="75"/>
    </row>
    <row r="562" spans="6:6" ht="12.75">
      <c r="F562" s="75"/>
    </row>
    <row r="563" spans="6:6" ht="12.75">
      <c r="F563" s="75"/>
    </row>
    <row r="564" spans="6:6" ht="12.75">
      <c r="F564" s="75"/>
    </row>
    <row r="565" spans="6:6" ht="12.75">
      <c r="F565" s="75"/>
    </row>
    <row r="566" spans="6:6" ht="12.75">
      <c r="F566" s="75"/>
    </row>
    <row r="567" spans="6:6" ht="12.75">
      <c r="F567" s="75"/>
    </row>
    <row r="568" spans="6:6" ht="12.75">
      <c r="F568" s="75"/>
    </row>
    <row r="569" spans="6:6" ht="12.75">
      <c r="F569" s="75"/>
    </row>
    <row r="570" spans="6:6" ht="12.75">
      <c r="F570" s="75"/>
    </row>
    <row r="571" spans="6:6" ht="12.75">
      <c r="F571" s="75"/>
    </row>
    <row r="572" spans="6:6" ht="12.75">
      <c r="F572" s="75"/>
    </row>
    <row r="573" spans="6:6" ht="12.75">
      <c r="F573" s="75"/>
    </row>
    <row r="574" spans="6:6" ht="12.75">
      <c r="F574" s="75"/>
    </row>
    <row r="575" spans="6:6" ht="12.75">
      <c r="F575" s="75"/>
    </row>
    <row r="576" spans="6:6" ht="12.75">
      <c r="F576" s="75"/>
    </row>
    <row r="577" spans="6:6" ht="12.75">
      <c r="F577" s="75"/>
    </row>
    <row r="578" spans="6:6" ht="12.75">
      <c r="F578" s="75"/>
    </row>
    <row r="579" spans="6:6" ht="12.75">
      <c r="F579" s="75"/>
    </row>
    <row r="580" spans="6:6" ht="12.75">
      <c r="F580" s="75"/>
    </row>
    <row r="581" spans="6:6" ht="12.75">
      <c r="F581" s="75"/>
    </row>
    <row r="582" spans="6:6" ht="12.75">
      <c r="F582" s="75"/>
    </row>
    <row r="583" spans="6:6" ht="12.75">
      <c r="F583" s="75"/>
    </row>
    <row r="584" spans="6:6" ht="12.75">
      <c r="F584" s="75"/>
    </row>
    <row r="585" spans="6:6" ht="12.75">
      <c r="F585" s="75"/>
    </row>
    <row r="586" spans="6:6" ht="12.75">
      <c r="F586" s="75"/>
    </row>
    <row r="587" spans="6:6" ht="12.75">
      <c r="F587" s="75"/>
    </row>
    <row r="588" spans="6:6" ht="12.75">
      <c r="F588" s="75"/>
    </row>
    <row r="589" spans="6:6" ht="12.75">
      <c r="F589" s="75"/>
    </row>
    <row r="590" spans="6:6" ht="12.75">
      <c r="F590" s="75"/>
    </row>
    <row r="591" spans="6:6" ht="12.75">
      <c r="F591" s="75"/>
    </row>
    <row r="592" spans="6:6" ht="12.75">
      <c r="F592" s="75"/>
    </row>
    <row r="593" spans="6:6" ht="12.75">
      <c r="F593" s="75"/>
    </row>
    <row r="594" spans="6:6" ht="12.75">
      <c r="F594" s="75"/>
    </row>
    <row r="595" spans="6:6" ht="12.75">
      <c r="F595" s="75"/>
    </row>
    <row r="596" spans="6:6" ht="12.75">
      <c r="F596" s="75"/>
    </row>
    <row r="597" spans="6:6" ht="12.75">
      <c r="F597" s="75"/>
    </row>
    <row r="598" spans="6:6" ht="12.75">
      <c r="F598" s="75"/>
    </row>
    <row r="599" spans="6:6" ht="12.75">
      <c r="F599" s="75"/>
    </row>
    <row r="600" spans="6:6" ht="12.75">
      <c r="F600" s="75"/>
    </row>
    <row r="601" spans="6:6" ht="12.75">
      <c r="F601" s="75"/>
    </row>
    <row r="602" spans="6:6" ht="12.75">
      <c r="F602" s="75"/>
    </row>
    <row r="603" spans="6:6" ht="12.75">
      <c r="F603" s="75"/>
    </row>
    <row r="604" spans="6:6" ht="12.75">
      <c r="F604" s="75"/>
    </row>
    <row r="605" spans="6:6" ht="12.75">
      <c r="F605" s="75"/>
    </row>
    <row r="606" spans="6:6" ht="12.75">
      <c r="F606" s="75"/>
    </row>
    <row r="607" spans="6:6" ht="12.75">
      <c r="F607" s="75"/>
    </row>
    <row r="608" spans="6:6" ht="12.75">
      <c r="F608" s="75"/>
    </row>
    <row r="609" spans="6:6" ht="12.75">
      <c r="F609" s="75"/>
    </row>
    <row r="610" spans="6:6" ht="12.75">
      <c r="F610" s="75"/>
    </row>
    <row r="611" spans="6:6" ht="12.75">
      <c r="F611" s="75"/>
    </row>
    <row r="612" spans="6:6" ht="12.75">
      <c r="F612" s="75"/>
    </row>
    <row r="613" spans="6:6" ht="12.75">
      <c r="F613" s="75"/>
    </row>
    <row r="614" spans="6:6" ht="12.75">
      <c r="F614" s="75"/>
    </row>
    <row r="615" spans="6:6" ht="12.75">
      <c r="F615" s="75"/>
    </row>
    <row r="616" spans="6:6" ht="12.75">
      <c r="F616" s="75"/>
    </row>
    <row r="617" spans="6:6" ht="12.75">
      <c r="F617" s="75"/>
    </row>
    <row r="618" spans="6:6" ht="12.75">
      <c r="F618" s="75"/>
    </row>
    <row r="619" spans="6:6" ht="12.75">
      <c r="F619" s="75"/>
    </row>
    <row r="620" spans="6:6" ht="12.75">
      <c r="F620" s="75"/>
    </row>
    <row r="621" spans="6:6" ht="12.75">
      <c r="F621" s="75"/>
    </row>
    <row r="622" spans="6:6" ht="12.75">
      <c r="F622" s="75"/>
    </row>
    <row r="623" spans="6:6" ht="12.75">
      <c r="F623" s="75"/>
    </row>
    <row r="624" spans="6:6" ht="12.75">
      <c r="F624" s="75"/>
    </row>
    <row r="625" spans="6:6" ht="12.75">
      <c r="F625" s="75"/>
    </row>
    <row r="626" spans="6:6" ht="12.75">
      <c r="F626" s="75"/>
    </row>
    <row r="627" spans="6:6" ht="12.75">
      <c r="F627" s="75"/>
    </row>
    <row r="628" spans="6:6" ht="12.75">
      <c r="F628" s="75"/>
    </row>
    <row r="629" spans="6:6" ht="12.75">
      <c r="F629" s="75"/>
    </row>
    <row r="630" spans="6:6" ht="12.75">
      <c r="F630" s="75"/>
    </row>
    <row r="631" spans="6:6" ht="12.75">
      <c r="F631" s="75"/>
    </row>
    <row r="632" spans="6:6" ht="12.75">
      <c r="F632" s="75"/>
    </row>
    <row r="633" spans="6:6" ht="12.75">
      <c r="F633" s="75"/>
    </row>
    <row r="634" spans="6:6" ht="12.75">
      <c r="F634" s="75"/>
    </row>
    <row r="635" spans="6:6" ht="12.75">
      <c r="F635" s="75"/>
    </row>
    <row r="636" spans="6:6" ht="12.75">
      <c r="F636" s="75"/>
    </row>
    <row r="637" spans="6:6" ht="12.75">
      <c r="F637" s="75"/>
    </row>
    <row r="638" spans="6:6" ht="12.75">
      <c r="F638" s="75"/>
    </row>
    <row r="639" spans="6:6" ht="12.75">
      <c r="F639" s="75"/>
    </row>
    <row r="640" spans="6:6" ht="12.75">
      <c r="F640" s="75"/>
    </row>
    <row r="641" spans="6:6" ht="12.75">
      <c r="F641" s="75"/>
    </row>
    <row r="642" spans="6:6" ht="12.75">
      <c r="F642" s="75"/>
    </row>
    <row r="643" spans="6:6" ht="12.75">
      <c r="F643" s="75"/>
    </row>
    <row r="644" spans="6:6" ht="12.75">
      <c r="F644" s="75"/>
    </row>
    <row r="645" spans="6:6" ht="12.75">
      <c r="F645" s="75"/>
    </row>
    <row r="646" spans="6:6" ht="12.75">
      <c r="F646" s="75"/>
    </row>
    <row r="647" spans="6:6" ht="12.75">
      <c r="F647" s="75"/>
    </row>
    <row r="648" spans="6:6" ht="12.75">
      <c r="F648" s="75"/>
    </row>
    <row r="649" spans="6:6" ht="12.75">
      <c r="F649" s="75"/>
    </row>
    <row r="650" spans="6:6" ht="12.75">
      <c r="F650" s="75"/>
    </row>
    <row r="651" spans="6:6" ht="12.75">
      <c r="F651" s="75"/>
    </row>
    <row r="652" spans="6:6" ht="12.75">
      <c r="F652" s="75"/>
    </row>
    <row r="653" spans="6:6" ht="12.75">
      <c r="F653" s="75"/>
    </row>
    <row r="654" spans="6:6" ht="12.75">
      <c r="F654" s="75"/>
    </row>
    <row r="655" spans="6:6" ht="12.75">
      <c r="F655" s="75"/>
    </row>
    <row r="656" spans="6:6" ht="12.75">
      <c r="F656" s="75"/>
    </row>
    <row r="657" spans="6:6" ht="12.75">
      <c r="F657" s="75"/>
    </row>
    <row r="658" spans="6:6" ht="12.75">
      <c r="F658" s="75"/>
    </row>
    <row r="659" spans="6:6" ht="12.75">
      <c r="F659" s="75"/>
    </row>
    <row r="660" spans="6:6" ht="12.75">
      <c r="F660" s="75"/>
    </row>
    <row r="661" spans="6:6" ht="12.75">
      <c r="F661" s="75"/>
    </row>
    <row r="662" spans="6:6" ht="12.75">
      <c r="F662" s="75"/>
    </row>
    <row r="663" spans="6:6" ht="12.75">
      <c r="F663" s="75"/>
    </row>
    <row r="664" spans="6:6" ht="12.75">
      <c r="F664" s="75"/>
    </row>
    <row r="665" spans="6:6" ht="12.75">
      <c r="F665" s="75"/>
    </row>
    <row r="666" spans="6:6" ht="12.75">
      <c r="F666" s="75"/>
    </row>
    <row r="667" spans="6:6" ht="12.75">
      <c r="F667" s="75"/>
    </row>
    <row r="668" spans="6:6" ht="12.75">
      <c r="F668" s="75"/>
    </row>
    <row r="669" spans="6:6" ht="12.75">
      <c r="F669" s="75"/>
    </row>
    <row r="670" spans="6:6" ht="12.75">
      <c r="F670" s="75"/>
    </row>
    <row r="671" spans="6:6" ht="12.75">
      <c r="F671" s="75"/>
    </row>
    <row r="672" spans="6:6" ht="12.75">
      <c r="F672" s="75"/>
    </row>
    <row r="673" spans="6:6" ht="12.75">
      <c r="F673" s="75"/>
    </row>
    <row r="674" spans="6:6" ht="12.75">
      <c r="F674" s="75"/>
    </row>
    <row r="675" spans="6:6" ht="12.75">
      <c r="F675" s="75"/>
    </row>
    <row r="676" spans="6:6" ht="12.75">
      <c r="F676" s="75"/>
    </row>
    <row r="677" spans="6:6" ht="12.75">
      <c r="F677" s="75"/>
    </row>
    <row r="678" spans="6:6" ht="12.75">
      <c r="F678" s="75"/>
    </row>
    <row r="679" spans="6:6" ht="12.75">
      <c r="F679" s="75"/>
    </row>
    <row r="680" spans="6:6" ht="12.75">
      <c r="F680" s="75"/>
    </row>
    <row r="681" spans="6:6" ht="12.75">
      <c r="F681" s="75"/>
    </row>
    <row r="682" spans="6:6" ht="12.75">
      <c r="F682" s="75"/>
    </row>
    <row r="683" spans="6:6" ht="12.75">
      <c r="F683" s="75"/>
    </row>
    <row r="684" spans="6:6" ht="12.75">
      <c r="F684" s="75"/>
    </row>
    <row r="685" spans="6:6" ht="12.75">
      <c r="F685" s="75"/>
    </row>
    <row r="686" spans="6:6" ht="12.75">
      <c r="F686" s="75"/>
    </row>
    <row r="687" spans="6:6" ht="12.75">
      <c r="F687" s="75"/>
    </row>
    <row r="688" spans="6:6" ht="12.75">
      <c r="F688" s="75"/>
    </row>
    <row r="689" spans="6:6" ht="12.75">
      <c r="F689" s="75"/>
    </row>
    <row r="690" spans="6:6" ht="12.75">
      <c r="F690" s="75"/>
    </row>
    <row r="691" spans="6:6" ht="12.75">
      <c r="F691" s="75"/>
    </row>
    <row r="692" spans="6:6" ht="12.75">
      <c r="F692" s="75"/>
    </row>
    <row r="693" spans="6:6" ht="12.75">
      <c r="F693" s="75"/>
    </row>
    <row r="694" spans="6:6" ht="12.75">
      <c r="F694" s="75"/>
    </row>
    <row r="695" spans="6:6" ht="12.75">
      <c r="F695" s="75"/>
    </row>
    <row r="696" spans="6:6" ht="12.75">
      <c r="F696" s="75"/>
    </row>
    <row r="697" spans="6:6" ht="12.75">
      <c r="F697" s="75"/>
    </row>
    <row r="698" spans="6:6" ht="12.75">
      <c r="F698" s="75"/>
    </row>
    <row r="699" spans="6:6" ht="12.75">
      <c r="F699" s="75"/>
    </row>
    <row r="700" spans="6:6" ht="12.75">
      <c r="F700" s="75"/>
    </row>
    <row r="701" spans="6:6" ht="12.75">
      <c r="F701" s="75"/>
    </row>
    <row r="702" spans="6:6" ht="12.75">
      <c r="F702" s="75"/>
    </row>
    <row r="703" spans="6:6" ht="12.75">
      <c r="F703" s="75"/>
    </row>
    <row r="704" spans="6:6" ht="12.75">
      <c r="F704" s="75"/>
    </row>
    <row r="705" spans="6:6" ht="12.75">
      <c r="F705" s="75"/>
    </row>
    <row r="706" spans="6:6" ht="12.75">
      <c r="F706" s="75"/>
    </row>
    <row r="707" spans="6:6" ht="12.75">
      <c r="F707" s="75"/>
    </row>
    <row r="708" spans="6:6" ht="12.75">
      <c r="F708" s="75"/>
    </row>
    <row r="709" spans="6:6" ht="12.75">
      <c r="F709" s="75"/>
    </row>
    <row r="710" spans="6:6" ht="12.75">
      <c r="F710" s="75"/>
    </row>
    <row r="711" spans="6:6" ht="12.75">
      <c r="F711" s="75"/>
    </row>
    <row r="712" spans="6:6" ht="12.75">
      <c r="F712" s="75"/>
    </row>
    <row r="713" spans="6:6" ht="12.75">
      <c r="F713" s="75"/>
    </row>
    <row r="714" spans="6:6" ht="12.75">
      <c r="F714" s="75"/>
    </row>
    <row r="715" spans="6:6" ht="12.75">
      <c r="F715" s="75"/>
    </row>
    <row r="716" spans="6:6" ht="12.75">
      <c r="F716" s="75"/>
    </row>
    <row r="717" spans="6:6" ht="12.75">
      <c r="F717" s="75"/>
    </row>
    <row r="718" spans="6:6" ht="12.75">
      <c r="F718" s="75"/>
    </row>
    <row r="719" spans="6:6" ht="12.75">
      <c r="F719" s="75"/>
    </row>
    <row r="720" spans="6:6" ht="12.75">
      <c r="F720" s="75"/>
    </row>
    <row r="721" spans="6:6" ht="12.75">
      <c r="F721" s="75"/>
    </row>
    <row r="722" spans="6:6" ht="12.75">
      <c r="F722" s="75"/>
    </row>
    <row r="723" spans="6:6" ht="12.75">
      <c r="F723" s="75"/>
    </row>
    <row r="724" spans="6:6" ht="12.75">
      <c r="F724" s="75"/>
    </row>
    <row r="725" spans="6:6" ht="12.75">
      <c r="F725" s="75"/>
    </row>
    <row r="726" spans="6:6" ht="12.75">
      <c r="F726" s="75"/>
    </row>
    <row r="727" spans="6:6" ht="12.75">
      <c r="F727" s="75"/>
    </row>
    <row r="728" spans="6:6" ht="12.75">
      <c r="F728" s="75"/>
    </row>
    <row r="729" spans="6:6" ht="12.75">
      <c r="F729" s="75"/>
    </row>
    <row r="730" spans="6:6" ht="12.75">
      <c r="F730" s="75"/>
    </row>
    <row r="731" spans="6:6" ht="12.75">
      <c r="F731" s="75"/>
    </row>
    <row r="732" spans="6:6" ht="12.75">
      <c r="F732" s="75"/>
    </row>
    <row r="733" spans="6:6" ht="12.75">
      <c r="F733" s="75"/>
    </row>
    <row r="734" spans="6:6" ht="12.75">
      <c r="F734" s="75"/>
    </row>
    <row r="735" spans="6:6" ht="12.75">
      <c r="F735" s="75"/>
    </row>
    <row r="736" spans="6:6" ht="12.75">
      <c r="F736" s="75"/>
    </row>
    <row r="737" spans="6:6" ht="12.75">
      <c r="F737" s="75"/>
    </row>
    <row r="738" spans="6:6" ht="12.75">
      <c r="F738" s="75"/>
    </row>
    <row r="739" spans="6:6" ht="12.75">
      <c r="F739" s="75"/>
    </row>
    <row r="740" spans="6:6" ht="12.75">
      <c r="F740" s="75"/>
    </row>
    <row r="741" spans="6:6" ht="12.75">
      <c r="F741" s="75"/>
    </row>
    <row r="742" spans="6:6" ht="12.75">
      <c r="F742" s="75"/>
    </row>
    <row r="743" spans="6:6" ht="12.75">
      <c r="F743" s="75"/>
    </row>
    <row r="744" spans="6:6" ht="12.75">
      <c r="F744" s="75"/>
    </row>
    <row r="745" spans="6:6" ht="12.75">
      <c r="F745" s="75"/>
    </row>
    <row r="746" spans="6:6" ht="12.75">
      <c r="F746" s="75"/>
    </row>
    <row r="747" spans="6:6" ht="12.75">
      <c r="F747" s="75"/>
    </row>
    <row r="748" spans="6:6" ht="12.75">
      <c r="F748" s="75"/>
    </row>
    <row r="749" spans="6:6" ht="12.75">
      <c r="F749" s="75"/>
    </row>
    <row r="750" spans="6:6" ht="12.75">
      <c r="F750" s="75"/>
    </row>
    <row r="751" spans="6:6" ht="12.75">
      <c r="F751" s="75"/>
    </row>
    <row r="752" spans="6:6" ht="12.75">
      <c r="F752" s="75"/>
    </row>
    <row r="753" spans="6:6" ht="12.75">
      <c r="F753" s="75"/>
    </row>
    <row r="754" spans="6:6" ht="12.75">
      <c r="F754" s="75"/>
    </row>
    <row r="755" spans="6:6" ht="12.75">
      <c r="F755" s="75"/>
    </row>
    <row r="756" spans="6:6" ht="12.75">
      <c r="F756" s="75"/>
    </row>
    <row r="757" spans="6:6" ht="12.75">
      <c r="F757" s="75"/>
    </row>
    <row r="758" spans="6:6" ht="12.75">
      <c r="F758" s="75"/>
    </row>
    <row r="759" spans="6:6" ht="12.75">
      <c r="F759" s="75"/>
    </row>
    <row r="760" spans="6:6" ht="12.75">
      <c r="F760" s="75"/>
    </row>
    <row r="761" spans="6:6" ht="12.75">
      <c r="F761" s="75"/>
    </row>
    <row r="762" spans="6:6" ht="12.75">
      <c r="F762" s="75"/>
    </row>
    <row r="763" spans="6:6" ht="12.75">
      <c r="F763" s="75"/>
    </row>
    <row r="764" spans="6:6" ht="12.75">
      <c r="F764" s="75"/>
    </row>
    <row r="765" spans="6:6" ht="12.75">
      <c r="F765" s="75"/>
    </row>
    <row r="766" spans="6:6" ht="12.75">
      <c r="F766" s="75"/>
    </row>
    <row r="767" spans="6:6" ht="12.75">
      <c r="F767" s="75"/>
    </row>
    <row r="768" spans="6:6" ht="12.75">
      <c r="F768" s="75"/>
    </row>
    <row r="769" spans="6:6" ht="12.75">
      <c r="F769" s="75"/>
    </row>
    <row r="770" spans="6:6" ht="12.75">
      <c r="F770" s="75"/>
    </row>
    <row r="771" spans="6:6" ht="12.75">
      <c r="F771" s="75"/>
    </row>
    <row r="772" spans="6:6" ht="12.75">
      <c r="F772" s="75"/>
    </row>
    <row r="773" spans="6:6" ht="12.75">
      <c r="F773" s="75"/>
    </row>
    <row r="774" spans="6:6" ht="12.75">
      <c r="F774" s="75"/>
    </row>
    <row r="775" spans="6:6" ht="12.75">
      <c r="F775" s="75"/>
    </row>
    <row r="776" spans="6:6" ht="12.75">
      <c r="F776" s="75"/>
    </row>
    <row r="777" spans="6:6" ht="12.75">
      <c r="F777" s="75"/>
    </row>
    <row r="778" spans="6:6" ht="12.75">
      <c r="F778" s="75"/>
    </row>
    <row r="779" spans="6:6" ht="12.75">
      <c r="F779" s="75"/>
    </row>
    <row r="780" spans="6:6" ht="12.75">
      <c r="F780" s="75"/>
    </row>
    <row r="781" spans="6:6" ht="12.75">
      <c r="F781" s="75"/>
    </row>
    <row r="782" spans="6:6" ht="12.75">
      <c r="F782" s="75"/>
    </row>
    <row r="783" spans="6:6" ht="12.75">
      <c r="F783" s="75"/>
    </row>
    <row r="784" spans="6:6" ht="12.75">
      <c r="F784" s="75"/>
    </row>
    <row r="785" spans="6:6" ht="12.75">
      <c r="F785" s="75"/>
    </row>
    <row r="786" spans="6:6" ht="12.75">
      <c r="F786" s="75"/>
    </row>
    <row r="787" spans="6:6" ht="12.75">
      <c r="F787" s="75"/>
    </row>
    <row r="788" spans="6:6" ht="12.75">
      <c r="F788" s="75"/>
    </row>
    <row r="789" spans="6:6" ht="12.75">
      <c r="F789" s="75"/>
    </row>
    <row r="790" spans="6:6" ht="12.75">
      <c r="F790" s="75"/>
    </row>
    <row r="791" spans="6:6" ht="12.75">
      <c r="F791" s="75"/>
    </row>
    <row r="792" spans="6:6" ht="12.75">
      <c r="F792" s="75"/>
    </row>
    <row r="793" spans="6:6" ht="12.75">
      <c r="F793" s="75"/>
    </row>
    <row r="794" spans="6:6" ht="12.75">
      <c r="F794" s="75"/>
    </row>
    <row r="795" spans="6:6" ht="12.75">
      <c r="F795" s="75"/>
    </row>
    <row r="796" spans="6:6" ht="12.75">
      <c r="F796" s="75"/>
    </row>
    <row r="797" spans="6:6" ht="12.75">
      <c r="F797" s="75"/>
    </row>
    <row r="798" spans="6:6" ht="12.75">
      <c r="F798" s="75"/>
    </row>
    <row r="799" spans="6:6" ht="12.75">
      <c r="F799" s="75"/>
    </row>
    <row r="800" spans="6:6" ht="12.75">
      <c r="F800" s="75"/>
    </row>
    <row r="801" spans="6:6" ht="12.75">
      <c r="F801" s="75"/>
    </row>
    <row r="802" spans="6:6" ht="12.75">
      <c r="F802" s="75"/>
    </row>
    <row r="803" spans="6:6" ht="12.75">
      <c r="F803" s="75"/>
    </row>
    <row r="804" spans="6:6" ht="12.75">
      <c r="F804" s="75"/>
    </row>
    <row r="805" spans="6:6" ht="12.75">
      <c r="F805" s="75"/>
    </row>
    <row r="806" spans="6:6" ht="12.75">
      <c r="F806" s="75"/>
    </row>
    <row r="807" spans="6:6" ht="12.75">
      <c r="F807" s="75"/>
    </row>
    <row r="808" spans="6:6" ht="12.75">
      <c r="F808" s="75"/>
    </row>
    <row r="809" spans="6:6" ht="12.75">
      <c r="F809" s="75"/>
    </row>
    <row r="810" spans="6:6" ht="12.75">
      <c r="F810" s="75"/>
    </row>
    <row r="811" spans="6:6" ht="12.75">
      <c r="F811" s="75"/>
    </row>
    <row r="812" spans="6:6" ht="12.75">
      <c r="F812" s="75"/>
    </row>
    <row r="813" spans="6:6" ht="12.75">
      <c r="F813" s="75"/>
    </row>
    <row r="814" spans="6:6" ht="12.75">
      <c r="F814" s="75"/>
    </row>
    <row r="815" spans="6:6" ht="12.75">
      <c r="F815" s="75"/>
    </row>
    <row r="816" spans="6:6" ht="12.75">
      <c r="F816" s="75"/>
    </row>
    <row r="817" spans="6:6" ht="12.75">
      <c r="F817" s="75"/>
    </row>
    <row r="818" spans="6:6" ht="12.75">
      <c r="F818" s="75"/>
    </row>
    <row r="819" spans="6:6" ht="12.75">
      <c r="F819" s="75"/>
    </row>
    <row r="820" spans="6:6" ht="12.75">
      <c r="F820" s="75"/>
    </row>
    <row r="821" spans="6:6" ht="12.75">
      <c r="F821" s="75"/>
    </row>
    <row r="822" spans="6:6" ht="12.75">
      <c r="F822" s="75"/>
    </row>
    <row r="823" spans="6:6" ht="12.75">
      <c r="F823" s="75"/>
    </row>
    <row r="824" spans="6:6" ht="12.75">
      <c r="F824" s="75"/>
    </row>
    <row r="825" spans="6:6" ht="12.75">
      <c r="F825" s="75"/>
    </row>
    <row r="826" spans="6:6" ht="12.75">
      <c r="F826" s="75"/>
    </row>
    <row r="827" spans="6:6" ht="12.75">
      <c r="F827" s="75"/>
    </row>
    <row r="828" spans="6:6" ht="12.75">
      <c r="F828" s="75"/>
    </row>
    <row r="829" spans="6:6" ht="12.75">
      <c r="F829" s="75"/>
    </row>
    <row r="830" spans="6:6" ht="12.75">
      <c r="F830" s="75"/>
    </row>
    <row r="831" spans="6:6" ht="12.75">
      <c r="F831" s="75"/>
    </row>
    <row r="832" spans="6:6" ht="12.75">
      <c r="F832" s="75"/>
    </row>
    <row r="833" spans="6:6" ht="12.75">
      <c r="F833" s="75"/>
    </row>
    <row r="834" spans="6:6" ht="12.75">
      <c r="F834" s="75"/>
    </row>
    <row r="835" spans="6:6" ht="12.75">
      <c r="F835" s="75"/>
    </row>
    <row r="836" spans="6:6" ht="12.75">
      <c r="F836" s="75"/>
    </row>
    <row r="837" spans="6:6" ht="12.75">
      <c r="F837" s="75"/>
    </row>
    <row r="838" spans="6:6" ht="12.75">
      <c r="F838" s="75"/>
    </row>
    <row r="839" spans="6:6" ht="12.75">
      <c r="F839" s="75"/>
    </row>
    <row r="840" spans="6:6" ht="12.75">
      <c r="F840" s="75"/>
    </row>
    <row r="841" spans="6:6" ht="12.75">
      <c r="F841" s="75"/>
    </row>
    <row r="842" spans="6:6" ht="12.75">
      <c r="F842" s="75"/>
    </row>
    <row r="843" spans="6:6" ht="12.75">
      <c r="F843" s="75"/>
    </row>
    <row r="844" spans="6:6" ht="12.75">
      <c r="F844" s="75"/>
    </row>
    <row r="845" spans="6:6" ht="12.75">
      <c r="F845" s="75"/>
    </row>
    <row r="846" spans="6:6" ht="12.75">
      <c r="F846" s="75"/>
    </row>
    <row r="847" spans="6:6" ht="12.75">
      <c r="F847" s="75"/>
    </row>
    <row r="848" spans="6:6" ht="12.75">
      <c r="F848" s="75"/>
    </row>
    <row r="849" spans="6:6" ht="12.75">
      <c r="F849" s="75"/>
    </row>
    <row r="850" spans="6:6" ht="12.75">
      <c r="F850" s="75"/>
    </row>
    <row r="851" spans="6:6" ht="12.75">
      <c r="F851" s="75"/>
    </row>
    <row r="852" spans="6:6" ht="12.75">
      <c r="F852" s="75"/>
    </row>
    <row r="853" spans="6:6" ht="12.75">
      <c r="F853" s="75"/>
    </row>
    <row r="854" spans="6:6" ht="12.75">
      <c r="F854" s="75"/>
    </row>
    <row r="855" spans="6:6" ht="12.75">
      <c r="F855" s="75"/>
    </row>
    <row r="856" spans="6:6" ht="12.75">
      <c r="F856" s="75"/>
    </row>
    <row r="857" spans="6:6" ht="12.75">
      <c r="F857" s="75"/>
    </row>
    <row r="858" spans="6:6" ht="12.75">
      <c r="F858" s="75"/>
    </row>
    <row r="859" spans="6:6" ht="12.75">
      <c r="F859" s="75"/>
    </row>
    <row r="860" spans="6:6" ht="12.75">
      <c r="F860" s="75"/>
    </row>
    <row r="861" spans="6:6" ht="12.75">
      <c r="F861" s="75"/>
    </row>
    <row r="862" spans="6:6" ht="12.75">
      <c r="F862" s="75"/>
    </row>
    <row r="863" spans="6:6" ht="12.75">
      <c r="F863" s="75"/>
    </row>
    <row r="864" spans="6:6" ht="12.75">
      <c r="F864" s="75"/>
    </row>
    <row r="865" spans="6:6" ht="12.75">
      <c r="F865" s="75"/>
    </row>
    <row r="866" spans="6:6" ht="12.75">
      <c r="F866" s="75"/>
    </row>
    <row r="867" spans="6:6" ht="12.75">
      <c r="F867" s="75"/>
    </row>
    <row r="868" spans="6:6" ht="12.75">
      <c r="F868" s="75"/>
    </row>
    <row r="869" spans="6:6" ht="12.75">
      <c r="F869" s="75"/>
    </row>
    <row r="870" spans="6:6" ht="12.75">
      <c r="F870" s="75"/>
    </row>
    <row r="871" spans="6:6" ht="12.75">
      <c r="F871" s="75"/>
    </row>
    <row r="872" spans="6:6" ht="12.75">
      <c r="F872" s="75"/>
    </row>
    <row r="873" spans="6:6" ht="12.75">
      <c r="F873" s="75"/>
    </row>
    <row r="874" spans="6:6" ht="12.75">
      <c r="F874" s="75"/>
    </row>
    <row r="875" spans="6:6" ht="12.75">
      <c r="F875" s="75"/>
    </row>
    <row r="876" spans="6:6" ht="12.75">
      <c r="F876" s="75"/>
    </row>
    <row r="877" spans="6:6" ht="12.75">
      <c r="F877" s="75"/>
    </row>
    <row r="878" spans="6:6" ht="12.75">
      <c r="F878" s="75"/>
    </row>
    <row r="879" spans="6:6" ht="12.75">
      <c r="F879" s="75"/>
    </row>
    <row r="880" spans="6:6" ht="12.75">
      <c r="F880" s="75"/>
    </row>
    <row r="881" spans="6:6" ht="12.75">
      <c r="F881" s="75"/>
    </row>
    <row r="882" spans="6:6" ht="12.75">
      <c r="F882" s="75"/>
    </row>
    <row r="883" spans="6:6" ht="12.75">
      <c r="F883" s="75"/>
    </row>
    <row r="884" spans="6:6" ht="12.75">
      <c r="F884" s="75"/>
    </row>
    <row r="885" spans="6:6" ht="12.75">
      <c r="F885" s="75"/>
    </row>
    <row r="886" spans="6:6" ht="12.75">
      <c r="F886" s="75"/>
    </row>
    <row r="887" spans="6:6" ht="12.75">
      <c r="F887" s="75"/>
    </row>
    <row r="888" spans="6:6" ht="12.75">
      <c r="F888" s="75"/>
    </row>
    <row r="889" spans="6:6" ht="12.75">
      <c r="F889" s="75"/>
    </row>
    <row r="890" spans="6:6" ht="12.75">
      <c r="F890" s="75"/>
    </row>
    <row r="891" spans="6:6" ht="12.75">
      <c r="F891" s="75"/>
    </row>
    <row r="892" spans="6:6" ht="12.75">
      <c r="F892" s="75"/>
    </row>
    <row r="893" spans="6:6" ht="12.75">
      <c r="F893" s="75"/>
    </row>
    <row r="894" spans="6:6" ht="12.75">
      <c r="F894" s="75"/>
    </row>
    <row r="895" spans="6:6" ht="12.75">
      <c r="F895" s="75"/>
    </row>
    <row r="896" spans="6:6" ht="12.75">
      <c r="F896" s="75"/>
    </row>
    <row r="897" spans="6:6" ht="12.75">
      <c r="F897" s="75"/>
    </row>
    <row r="898" spans="6:6" ht="12.75">
      <c r="F898" s="75"/>
    </row>
    <row r="899" spans="6:6" ht="12.75">
      <c r="F899" s="75"/>
    </row>
    <row r="900" spans="6:6" ht="12.75">
      <c r="F900" s="75"/>
    </row>
    <row r="901" spans="6:6" ht="12.75">
      <c r="F901" s="75"/>
    </row>
    <row r="902" spans="6:6" ht="12.75">
      <c r="F902" s="75"/>
    </row>
    <row r="903" spans="6:6" ht="12.75">
      <c r="F903" s="75"/>
    </row>
    <row r="904" spans="6:6" ht="12.75">
      <c r="F904" s="75"/>
    </row>
    <row r="905" spans="6:6" ht="12.75">
      <c r="F905" s="75"/>
    </row>
    <row r="906" spans="6:6" ht="12.75">
      <c r="F906" s="75"/>
    </row>
    <row r="907" spans="6:6" ht="12.75">
      <c r="F907" s="75"/>
    </row>
    <row r="908" spans="6:6" ht="12.75">
      <c r="F908" s="75"/>
    </row>
    <row r="909" spans="6:6" ht="12.75">
      <c r="F909" s="75"/>
    </row>
    <row r="910" spans="6:6" ht="12.75">
      <c r="F910" s="75"/>
    </row>
    <row r="911" spans="6:6" ht="12.75">
      <c r="F911" s="75"/>
    </row>
    <row r="912" spans="6:6" ht="12.75">
      <c r="F912" s="75"/>
    </row>
    <row r="913" spans="6:6" ht="12.75">
      <c r="F913" s="75"/>
    </row>
    <row r="914" spans="6:6" ht="12.75">
      <c r="F914" s="75"/>
    </row>
    <row r="915" spans="6:6" ht="12.75">
      <c r="F915" s="75"/>
    </row>
    <row r="916" spans="6:6" ht="12.75">
      <c r="F916" s="75"/>
    </row>
    <row r="917" spans="6:6" ht="12.75">
      <c r="F917" s="75"/>
    </row>
    <row r="918" spans="6:6" ht="12.75">
      <c r="F918" s="75"/>
    </row>
    <row r="919" spans="6:6" ht="12.75">
      <c r="F919" s="75"/>
    </row>
    <row r="920" spans="6:6" ht="12.75">
      <c r="F920" s="75"/>
    </row>
    <row r="921" spans="6:6" ht="12.75">
      <c r="F921" s="75"/>
    </row>
    <row r="922" spans="6:6" ht="12.75">
      <c r="F922" s="75"/>
    </row>
    <row r="923" spans="6:6" ht="12.75">
      <c r="F923" s="75"/>
    </row>
    <row r="924" spans="6:6" ht="12.75">
      <c r="F924" s="75"/>
    </row>
    <row r="925" spans="6:6" ht="12.75">
      <c r="F925" s="75"/>
    </row>
    <row r="926" spans="6:6" ht="12.75">
      <c r="F926" s="75"/>
    </row>
    <row r="927" spans="6:6" ht="12.75">
      <c r="F927" s="75"/>
    </row>
    <row r="928" spans="6:6" ht="12.75">
      <c r="F928" s="75"/>
    </row>
    <row r="929" spans="6:6" ht="12.75">
      <c r="F929" s="75"/>
    </row>
    <row r="930" spans="6:6" ht="12.75">
      <c r="F930" s="75"/>
    </row>
    <row r="931" spans="6:6" ht="12.75">
      <c r="F931" s="75"/>
    </row>
    <row r="932" spans="6:6" ht="12.75">
      <c r="F932" s="75"/>
    </row>
    <row r="933" spans="6:6" ht="12.75">
      <c r="F933" s="75"/>
    </row>
    <row r="934" spans="6:6" ht="12.75">
      <c r="F934" s="75"/>
    </row>
    <row r="935" spans="6:6" ht="12.75">
      <c r="F935" s="75"/>
    </row>
    <row r="936" spans="6:6" ht="12.75">
      <c r="F936" s="75"/>
    </row>
    <row r="937" spans="6:6" ht="12.75">
      <c r="F937" s="75"/>
    </row>
    <row r="938" spans="6:6" ht="12.75">
      <c r="F938" s="75"/>
    </row>
    <row r="939" spans="6:6" ht="12.75">
      <c r="F939" s="75"/>
    </row>
    <row r="940" spans="6:6" ht="12.75">
      <c r="F940" s="75"/>
    </row>
    <row r="941" spans="6:6" ht="12.75">
      <c r="F941" s="75"/>
    </row>
    <row r="942" spans="6:6" ht="12.75">
      <c r="F942" s="75"/>
    </row>
    <row r="943" spans="6:6" ht="12.75">
      <c r="F943" s="75"/>
    </row>
    <row r="944" spans="6:6" ht="12.75">
      <c r="F944" s="75"/>
    </row>
    <row r="945" spans="6:6" ht="12.75">
      <c r="F945" s="75"/>
    </row>
    <row r="946" spans="6:6" ht="12.75">
      <c r="F946" s="75"/>
    </row>
    <row r="947" spans="6:6" ht="12.75">
      <c r="F947" s="75"/>
    </row>
    <row r="948" spans="6:6" ht="12.75">
      <c r="F948" s="75"/>
    </row>
    <row r="949" spans="6:6" ht="12.75">
      <c r="F949" s="75"/>
    </row>
    <row r="950" spans="6:6" ht="12.75">
      <c r="F950" s="75"/>
    </row>
    <row r="951" spans="6:6" ht="12.75">
      <c r="F951" s="75"/>
    </row>
    <row r="952" spans="6:6" ht="12.75">
      <c r="F952" s="75"/>
    </row>
    <row r="953" spans="6:6" ht="12.75">
      <c r="F953" s="75"/>
    </row>
    <row r="954" spans="6:6" ht="12.75">
      <c r="F954" s="75"/>
    </row>
    <row r="955" spans="6:6" ht="12.75">
      <c r="F955" s="75"/>
    </row>
    <row r="956" spans="6:6" ht="12.75">
      <c r="F956" s="75"/>
    </row>
    <row r="957" spans="6:6" ht="12.75">
      <c r="F957" s="75"/>
    </row>
    <row r="958" spans="6:6" ht="12.75">
      <c r="F958" s="75"/>
    </row>
    <row r="959" spans="6:6" ht="12.75">
      <c r="F959" s="75"/>
    </row>
    <row r="960" spans="6:6" ht="12.75">
      <c r="F960" s="75"/>
    </row>
    <row r="961" spans="6:6" ht="12.75">
      <c r="F961" s="75"/>
    </row>
    <row r="962" spans="6:6" ht="12.75">
      <c r="F962" s="75"/>
    </row>
    <row r="963" spans="6:6" ht="12.75">
      <c r="F963" s="75"/>
    </row>
    <row r="964" spans="6:6" ht="12.75">
      <c r="F964" s="75"/>
    </row>
    <row r="965" spans="6:6" ht="12.75">
      <c r="F965" s="75"/>
    </row>
    <row r="966" spans="6:6" ht="12.75">
      <c r="F966" s="75"/>
    </row>
    <row r="967" spans="6:6" ht="12.75">
      <c r="F967" s="75"/>
    </row>
    <row r="968" spans="6:6" ht="12.75">
      <c r="F968" s="75"/>
    </row>
    <row r="969" spans="6:6" ht="12.75">
      <c r="F969" s="75"/>
    </row>
    <row r="970" spans="6:6" ht="12.75">
      <c r="F970" s="75"/>
    </row>
    <row r="971" spans="6:6" ht="12.75">
      <c r="F971" s="75"/>
    </row>
    <row r="972" spans="6:6" ht="12.75">
      <c r="F972" s="75"/>
    </row>
    <row r="973" spans="6:6" ht="12.75">
      <c r="F973" s="75"/>
    </row>
    <row r="974" spans="6:6" ht="12.75">
      <c r="F974" s="75"/>
    </row>
    <row r="975" spans="6:6" ht="12.75">
      <c r="F975" s="75"/>
    </row>
    <row r="976" spans="6:6" ht="12.75">
      <c r="F976" s="75"/>
    </row>
    <row r="977" spans="6:6" ht="12.75">
      <c r="F977" s="75"/>
    </row>
    <row r="978" spans="6:6" ht="12.75">
      <c r="F978" s="75"/>
    </row>
    <row r="979" spans="6:6" ht="12.75">
      <c r="F979" s="75"/>
    </row>
    <row r="980" spans="6:6" ht="12.75">
      <c r="F980" s="75"/>
    </row>
    <row r="981" spans="6:6" ht="12.75">
      <c r="F981" s="75"/>
    </row>
    <row r="982" spans="6:6" ht="12.75">
      <c r="F982" s="75"/>
    </row>
    <row r="983" spans="6:6" ht="12.75">
      <c r="F983" s="75"/>
    </row>
    <row r="984" spans="6:6" ht="12.75">
      <c r="F984" s="75"/>
    </row>
    <row r="985" spans="6:6" ht="12.75">
      <c r="F985" s="75"/>
    </row>
    <row r="986" spans="6:6" ht="12.75">
      <c r="F986" s="75"/>
    </row>
    <row r="987" spans="6:6" ht="12.75">
      <c r="F987" s="75"/>
    </row>
    <row r="988" spans="6:6" ht="12.75">
      <c r="F988" s="75"/>
    </row>
    <row r="989" spans="6:6" ht="12.75">
      <c r="F989" s="75"/>
    </row>
    <row r="990" spans="6:6" ht="12.75">
      <c r="F990" s="75"/>
    </row>
    <row r="991" spans="6:6" ht="12.75">
      <c r="F991" s="75"/>
    </row>
    <row r="992" spans="6:6" ht="12.75">
      <c r="F992" s="75"/>
    </row>
    <row r="993" spans="6:6" ht="12.75">
      <c r="F993" s="75"/>
    </row>
    <row r="994" spans="6:6" ht="12.75">
      <c r="F994" s="75"/>
    </row>
    <row r="995" spans="6:6" ht="12.75">
      <c r="F995" s="75"/>
    </row>
    <row r="996" spans="6:6" ht="12.75">
      <c r="F996" s="75"/>
    </row>
    <row r="997" spans="6:6" ht="12.75">
      <c r="F997" s="75"/>
    </row>
    <row r="998" spans="6:6" ht="12.75">
      <c r="F998" s="75"/>
    </row>
    <row r="999" spans="6:6" ht="12.75">
      <c r="F999" s="75"/>
    </row>
    <row r="1000" spans="6:6" ht="12.75">
      <c r="F1000" s="75"/>
    </row>
    <row r="1001" spans="6:6" ht="12.75">
      <c r="F1001" s="75"/>
    </row>
    <row r="1002" spans="6:6" ht="12.75">
      <c r="F1002" s="75"/>
    </row>
    <row r="1003" spans="6:6" ht="12.75">
      <c r="F1003" s="75"/>
    </row>
    <row r="1004" spans="6:6" ht="12.75">
      <c r="F1004" s="75"/>
    </row>
    <row r="1005" spans="6:6" ht="12.75">
      <c r="F1005" s="75"/>
    </row>
    <row r="1006" spans="6:6" ht="12.75">
      <c r="F1006" s="75"/>
    </row>
    <row r="1007" spans="6:6" ht="12.75">
      <c r="F1007" s="75"/>
    </row>
    <row r="1008" spans="6:6" ht="12.75">
      <c r="F1008" s="75"/>
    </row>
    <row r="1009" spans="6:6" ht="12.75">
      <c r="F1009" s="75"/>
    </row>
    <row r="1010" spans="6:6" ht="12.75">
      <c r="F1010" s="75"/>
    </row>
    <row r="1011" spans="6:6" ht="12.75">
      <c r="F1011" s="75"/>
    </row>
    <row r="1012" spans="6:6" ht="12.75">
      <c r="F1012" s="75"/>
    </row>
    <row r="1013" spans="6:6" ht="12.75">
      <c r="F1013" s="75"/>
    </row>
    <row r="1014" spans="6:6" ht="12.75">
      <c r="F1014" s="75"/>
    </row>
    <row r="1015" spans="6:6" ht="12.75">
      <c r="F1015" s="75"/>
    </row>
    <row r="1016" spans="6:6" ht="12.75">
      <c r="F1016" s="75"/>
    </row>
    <row r="1017" spans="6:6" ht="12.75">
      <c r="F1017" s="75"/>
    </row>
    <row r="1018" spans="6:6" ht="12.75">
      <c r="F1018" s="75"/>
    </row>
    <row r="1019" spans="6:6" ht="12.75">
      <c r="F1019" s="75"/>
    </row>
    <row r="1020" spans="6:6" ht="12.75">
      <c r="F1020" s="75"/>
    </row>
    <row r="1021" spans="6:6" ht="12.75">
      <c r="F1021" s="75"/>
    </row>
    <row r="1022" spans="6:6" ht="12.75">
      <c r="F1022" s="75"/>
    </row>
    <row r="1023" spans="6:6" ht="12.75">
      <c r="F1023" s="75"/>
    </row>
    <row r="1024" spans="6:6" ht="12.75">
      <c r="F1024" s="75"/>
    </row>
    <row r="1025" spans="6:6" ht="12.75">
      <c r="F1025" s="75"/>
    </row>
    <row r="1026" spans="6:6" ht="12.75">
      <c r="F1026" s="75"/>
    </row>
    <row r="1027" spans="6:6" ht="12.75">
      <c r="F1027" s="75"/>
    </row>
    <row r="1028" spans="6:6" ht="12.75">
      <c r="F1028" s="75"/>
    </row>
    <row r="1029" spans="6:6" ht="12.75">
      <c r="F1029" s="75"/>
    </row>
    <row r="1030" spans="6:6" ht="12.75">
      <c r="F1030" s="75"/>
    </row>
    <row r="1031" spans="6:6" ht="12.75">
      <c r="F1031" s="75"/>
    </row>
    <row r="1032" spans="6:6" ht="12.75">
      <c r="F1032" s="75"/>
    </row>
    <row r="1033" spans="6:6" ht="12.75">
      <c r="F1033" s="75"/>
    </row>
    <row r="1034" spans="6:6" ht="12.75">
      <c r="F1034" s="75"/>
    </row>
    <row r="1035" spans="6:6" ht="12.75">
      <c r="F1035" s="75"/>
    </row>
    <row r="1036" spans="6:6" ht="12.75">
      <c r="F1036" s="75"/>
    </row>
    <row r="1037" spans="6:6" ht="12.75">
      <c r="F1037" s="75"/>
    </row>
    <row r="1038" spans="6:6" ht="12.75">
      <c r="F1038" s="75"/>
    </row>
    <row r="1039" spans="6:6" ht="12.75">
      <c r="F1039" s="75"/>
    </row>
    <row r="1040" spans="6:6" ht="12.75">
      <c r="F1040" s="75"/>
    </row>
    <row r="1041" spans="6:6" ht="12.75">
      <c r="F1041" s="75"/>
    </row>
    <row r="1042" spans="6:6" ht="12.75">
      <c r="F1042" s="75"/>
    </row>
    <row r="1043" spans="6:6" ht="12.75">
      <c r="F1043" s="75"/>
    </row>
    <row r="1044" spans="6:6" ht="12.75">
      <c r="F1044" s="75"/>
    </row>
    <row r="1045" spans="6:6" ht="12.75">
      <c r="F1045" s="75"/>
    </row>
    <row r="1046" spans="6:6" ht="12.75">
      <c r="F1046" s="75"/>
    </row>
    <row r="1047" spans="6:6" ht="12.75">
      <c r="F1047" s="75"/>
    </row>
    <row r="1048" spans="6:6" ht="12.75">
      <c r="F1048" s="75"/>
    </row>
    <row r="1049" spans="6:6" ht="12.75">
      <c r="F1049" s="75"/>
    </row>
    <row r="1050" spans="6:6" ht="12.75">
      <c r="F1050" s="75"/>
    </row>
    <row r="1051" spans="6:6" ht="12.75">
      <c r="F1051" s="75"/>
    </row>
    <row r="1052" spans="6:6" ht="12.75">
      <c r="F1052" s="75"/>
    </row>
    <row r="1053" spans="6:6" ht="12.75">
      <c r="F1053" s="75"/>
    </row>
    <row r="1054" spans="6:6" ht="12.75">
      <c r="F1054" s="75"/>
    </row>
    <row r="1055" spans="6:6" ht="12.75">
      <c r="F1055" s="75"/>
    </row>
    <row r="1056" spans="6:6" ht="12.75">
      <c r="F1056" s="75"/>
    </row>
    <row r="1057" spans="6:6" ht="12.75">
      <c r="F1057" s="75"/>
    </row>
    <row r="1058" spans="6:6" ht="12.75">
      <c r="F1058" s="75"/>
    </row>
    <row r="1059" spans="6:6" ht="12.75">
      <c r="F1059" s="75"/>
    </row>
    <row r="1060" spans="6:6" ht="12.75">
      <c r="F1060" s="75"/>
    </row>
    <row r="1061" spans="6:6" ht="12.75">
      <c r="F1061" s="75"/>
    </row>
    <row r="1062" spans="6:6" ht="12.75">
      <c r="F1062" s="75"/>
    </row>
    <row r="1063" spans="6:6" ht="12.75">
      <c r="F1063" s="75"/>
    </row>
    <row r="1064" spans="6:6" ht="12.75">
      <c r="F1064" s="75"/>
    </row>
    <row r="1065" spans="6:6" ht="12.75">
      <c r="F1065" s="75"/>
    </row>
    <row r="1066" spans="6:6" ht="12.75">
      <c r="F1066" s="75"/>
    </row>
    <row r="1067" spans="6:6" ht="12.75">
      <c r="F1067" s="75"/>
    </row>
    <row r="1068" spans="6:6" ht="12.75">
      <c r="F1068" s="75"/>
    </row>
    <row r="1069" spans="6:6" ht="12.75">
      <c r="F1069" s="75"/>
    </row>
    <row r="1070" spans="6:6" ht="12.75">
      <c r="F1070" s="75"/>
    </row>
    <row r="1071" spans="6:6" ht="12.75">
      <c r="F1071" s="75"/>
    </row>
    <row r="1072" spans="6:6" ht="12.75">
      <c r="F1072" s="75"/>
    </row>
    <row r="1073" spans="6:6" ht="12.75">
      <c r="F1073" s="75"/>
    </row>
    <row r="1074" spans="6:6" ht="12.75">
      <c r="F1074" s="75"/>
    </row>
    <row r="1075" spans="6:6" ht="12.75">
      <c r="F1075" s="75"/>
    </row>
    <row r="1076" spans="6:6" ht="12.75">
      <c r="F1076" s="75"/>
    </row>
    <row r="1077" spans="6:6" ht="12.75">
      <c r="F1077" s="75"/>
    </row>
    <row r="1078" spans="6:6" ht="12.75">
      <c r="F1078" s="75"/>
    </row>
    <row r="1079" spans="6:6" ht="12.75">
      <c r="F1079" s="75"/>
    </row>
    <row r="1080" spans="6:6" ht="12.75">
      <c r="F1080" s="75"/>
    </row>
    <row r="1081" spans="6:6" ht="12.75">
      <c r="F1081" s="75"/>
    </row>
    <row r="1082" spans="6:6" ht="12.75">
      <c r="F1082" s="75"/>
    </row>
    <row r="1083" spans="6:6" ht="12.75">
      <c r="F1083" s="75"/>
    </row>
    <row r="1084" spans="6:6" ht="12.75">
      <c r="F1084" s="75"/>
    </row>
    <row r="1085" spans="6:6" ht="12.75">
      <c r="F1085" s="75"/>
    </row>
  </sheetData>
  <mergeCells count="23">
    <mergeCell ref="B70:B72"/>
    <mergeCell ref="B33:B34"/>
    <mergeCell ref="B35:B36"/>
    <mergeCell ref="B37:B38"/>
    <mergeCell ref="B44:B45"/>
    <mergeCell ref="B46:B47"/>
    <mergeCell ref="B48:B50"/>
    <mergeCell ref="B51:B55"/>
    <mergeCell ref="B25:B28"/>
    <mergeCell ref="B29:B32"/>
    <mergeCell ref="B56:B61"/>
    <mergeCell ref="B62:B64"/>
    <mergeCell ref="B65:B69"/>
    <mergeCell ref="A4:A19"/>
    <mergeCell ref="B4:B8"/>
    <mergeCell ref="B9:B14"/>
    <mergeCell ref="B15:B19"/>
    <mergeCell ref="B20:B24"/>
    <mergeCell ref="A20:A32"/>
    <mergeCell ref="A33:A39"/>
    <mergeCell ref="A44:A55"/>
    <mergeCell ref="A56:A72"/>
    <mergeCell ref="A73:A74"/>
  </mergeCells>
  <phoneticPr fontId="86" type="noConversion"/>
  <conditionalFormatting sqref="F3:F39 F43:F74">
    <cfRule type="cellIs" dxfId="12" priority="1" operator="lessThanOrEqual">
      <formula>180</formula>
    </cfRule>
  </conditionalFormatting>
  <conditionalFormatting sqref="F4:F39 F44:F74">
    <cfRule type="cellIs" dxfId="11" priority="2" operator="lessThanOrEqual">
      <formula>365</formula>
    </cfRule>
  </conditionalFormatting>
  <conditionalFormatting sqref="G5:G39">
    <cfRule type="cellIs" dxfId="10" priority="5" operator="lessThanOrEqual">
      <formula>90</formula>
    </cfRule>
  </conditionalFormatting>
  <conditionalFormatting sqref="G44:G74">
    <cfRule type="cellIs" dxfId="9" priority="4" operator="lessThanOrEqual">
      <formula>90</formula>
    </cfRule>
  </conditionalFormatting>
  <conditionalFormatting sqref="K4:L39 K44:L74">
    <cfRule type="notContainsBlanks" dxfId="8" priority="3">
      <formula>LEN(TRIM(K4))&gt;0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16"/>
  <sheetViews>
    <sheetView workbookViewId="0"/>
  </sheetViews>
  <sheetFormatPr defaultColWidth="14.42578125" defaultRowHeight="15.75" customHeight="1"/>
  <cols>
    <col min="1" max="1" width="21.85546875" customWidth="1"/>
    <col min="4" max="4" width="2.85546875" customWidth="1"/>
    <col min="5" max="5" width="0.42578125" customWidth="1"/>
    <col min="6" max="6" width="2.7109375" customWidth="1"/>
    <col min="7" max="7" width="17.28515625" customWidth="1"/>
  </cols>
  <sheetData>
    <row r="1" spans="1:8" ht="15.75" customHeight="1">
      <c r="E1" s="700"/>
    </row>
    <row r="2" spans="1:8" ht="15.75" customHeight="1">
      <c r="A2" s="685" t="s">
        <v>487</v>
      </c>
      <c r="E2" s="700"/>
      <c r="F2" s="7"/>
      <c r="G2" s="685" t="s">
        <v>488</v>
      </c>
    </row>
    <row r="3" spans="1:8" ht="15.75" customHeight="1">
      <c r="E3" s="700"/>
    </row>
    <row r="4" spans="1:8">
      <c r="A4" s="701"/>
      <c r="B4" s="701"/>
      <c r="C4" s="701"/>
      <c r="D4" s="701"/>
      <c r="E4" s="702"/>
      <c r="F4" s="701"/>
      <c r="G4" s="701"/>
      <c r="H4" s="701"/>
    </row>
    <row r="5" spans="1:8">
      <c r="A5" s="703" t="s">
        <v>489</v>
      </c>
      <c r="B5" s="704" t="s">
        <v>490</v>
      </c>
      <c r="C5" s="701"/>
      <c r="D5" s="701"/>
      <c r="E5" s="702"/>
      <c r="F5" s="606"/>
      <c r="G5" s="703" t="s">
        <v>489</v>
      </c>
      <c r="H5" s="701" t="s">
        <v>490</v>
      </c>
    </row>
    <row r="6" spans="1:8">
      <c r="A6" s="704"/>
      <c r="B6" s="704"/>
      <c r="C6" s="701"/>
      <c r="D6" s="701"/>
      <c r="E6" s="702"/>
      <c r="F6" s="701"/>
      <c r="G6" s="704"/>
      <c r="H6" s="701"/>
    </row>
    <row r="7" spans="1:8">
      <c r="A7" s="703" t="s">
        <v>491</v>
      </c>
      <c r="B7" s="703" t="s">
        <v>492</v>
      </c>
      <c r="C7" s="701"/>
      <c r="D7" s="701"/>
      <c r="E7" s="702"/>
      <c r="F7" s="705"/>
      <c r="G7" s="704" t="s">
        <v>491</v>
      </c>
      <c r="H7" s="701" t="s">
        <v>493</v>
      </c>
    </row>
    <row r="8" spans="1:8">
      <c r="A8" s="703" t="s">
        <v>494</v>
      </c>
      <c r="B8" s="703" t="s">
        <v>495</v>
      </c>
      <c r="C8" s="701"/>
      <c r="D8" s="701"/>
      <c r="E8" s="702"/>
      <c r="F8" s="705"/>
      <c r="G8" s="704" t="s">
        <v>496</v>
      </c>
      <c r="H8" s="701" t="s">
        <v>497</v>
      </c>
    </row>
    <row r="9" spans="1:8">
      <c r="A9" s="701"/>
      <c r="B9" s="701"/>
      <c r="C9" s="701"/>
      <c r="D9" s="701"/>
      <c r="E9" s="702"/>
      <c r="F9" s="701"/>
      <c r="G9" s="701"/>
      <c r="H9" s="701"/>
    </row>
    <row r="10" spans="1:8">
      <c r="A10" s="165"/>
      <c r="B10" s="166" t="s">
        <v>499</v>
      </c>
      <c r="C10" s="166" t="s">
        <v>500</v>
      </c>
      <c r="D10" s="701"/>
      <c r="E10" s="702"/>
      <c r="F10" s="701"/>
      <c r="G10" s="701" t="s">
        <v>501</v>
      </c>
      <c r="H10" s="701"/>
    </row>
    <row r="11" spans="1:8">
      <c r="A11" s="171" t="s">
        <v>502</v>
      </c>
      <c r="B11" s="230">
        <f>3*500</f>
        <v>1500</v>
      </c>
      <c r="C11" s="230">
        <f t="shared" ref="C11:C12" si="0">B11*171.51</f>
        <v>257265</v>
      </c>
      <c r="D11" s="701"/>
      <c r="E11" s="702"/>
      <c r="F11" s="701"/>
      <c r="G11" s="701"/>
      <c r="H11" s="701"/>
    </row>
    <row r="12" spans="1:8">
      <c r="A12" s="171" t="s">
        <v>505</v>
      </c>
      <c r="B12" s="230">
        <v>1600</v>
      </c>
      <c r="C12" s="230">
        <f t="shared" si="0"/>
        <v>274416</v>
      </c>
      <c r="D12" s="701"/>
      <c r="E12" s="702"/>
      <c r="F12" s="701"/>
      <c r="G12" s="701"/>
      <c r="H12" s="701"/>
    </row>
    <row r="13" spans="1:8">
      <c r="A13" s="706"/>
      <c r="B13" s="707">
        <f t="shared" ref="B13:C13" si="1">SUM(B11:B12)</f>
        <v>3100</v>
      </c>
      <c r="C13" s="707">
        <f t="shared" si="1"/>
        <v>531681</v>
      </c>
      <c r="D13" s="701"/>
      <c r="E13" s="702"/>
      <c r="F13" s="701"/>
      <c r="G13" s="701"/>
      <c r="H13" s="701"/>
    </row>
    <row r="14" spans="1:8">
      <c r="A14" s="701"/>
      <c r="B14" s="701"/>
      <c r="C14" s="701"/>
      <c r="D14" s="701"/>
      <c r="E14" s="702"/>
      <c r="F14" s="701"/>
      <c r="G14" s="701"/>
      <c r="H14" s="701"/>
    </row>
    <row r="15" spans="1:8" ht="15.75" customHeight="1">
      <c r="E15" s="700"/>
    </row>
    <row r="16" spans="1:8" ht="15.75" customHeight="1">
      <c r="E16" s="700"/>
    </row>
  </sheetData>
  <phoneticPr fontId="8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2:R20"/>
  <sheetViews>
    <sheetView workbookViewId="0"/>
  </sheetViews>
  <sheetFormatPr defaultColWidth="14.42578125" defaultRowHeight="15.75" customHeight="1"/>
  <cols>
    <col min="1" max="1" width="16.140625" customWidth="1"/>
    <col min="3" max="3" width="15.28515625" customWidth="1"/>
    <col min="4" max="4" width="16.5703125" customWidth="1"/>
    <col min="5" max="5" width="18.42578125" customWidth="1"/>
    <col min="8" max="8" width="15.140625" customWidth="1"/>
    <col min="9" max="11" width="17.42578125" customWidth="1"/>
    <col min="17" max="17" width="28.7109375" customWidth="1"/>
    <col min="18" max="18" width="23.7109375" customWidth="1"/>
  </cols>
  <sheetData>
    <row r="2" spans="1:18">
      <c r="A2" s="716" t="s">
        <v>515</v>
      </c>
    </row>
    <row r="4" spans="1:18" ht="15.75" customHeight="1">
      <c r="A4" s="717" t="s">
        <v>518</v>
      </c>
      <c r="B4" s="720" t="s">
        <v>519</v>
      </c>
      <c r="C4" s="720" t="s">
        <v>520</v>
      </c>
      <c r="D4" s="720" t="s">
        <v>521</v>
      </c>
      <c r="E4" s="720" t="s">
        <v>522</v>
      </c>
      <c r="F4" s="720" t="s">
        <v>523</v>
      </c>
      <c r="G4" s="720" t="s">
        <v>525</v>
      </c>
      <c r="H4" s="720" t="s">
        <v>526</v>
      </c>
      <c r="I4" s="720" t="s">
        <v>527</v>
      </c>
      <c r="J4" s="720" t="s">
        <v>528</v>
      </c>
      <c r="K4" s="720" t="s">
        <v>530</v>
      </c>
      <c r="L4" s="720" t="s">
        <v>531</v>
      </c>
      <c r="M4" s="720" t="s">
        <v>533</v>
      </c>
      <c r="N4" s="720" t="s">
        <v>534</v>
      </c>
      <c r="O4" s="720" t="s">
        <v>535</v>
      </c>
      <c r="P4" s="720" t="s">
        <v>536</v>
      </c>
      <c r="Q4" s="720" t="s">
        <v>537</v>
      </c>
      <c r="R4" s="720" t="s">
        <v>68</v>
      </c>
    </row>
    <row r="5" spans="1:18" ht="15.75" customHeight="1">
      <c r="A5" s="165" t="s">
        <v>538</v>
      </c>
      <c r="B5" s="166" t="s">
        <v>539</v>
      </c>
      <c r="C5" s="166">
        <v>100261204705</v>
      </c>
      <c r="D5" s="166" t="s">
        <v>541</v>
      </c>
      <c r="E5" s="166" t="s">
        <v>542</v>
      </c>
      <c r="F5" s="166">
        <v>4</v>
      </c>
      <c r="G5" s="166">
        <f t="shared" ref="G5:G7" si="0">Q5-I5</f>
        <v>4</v>
      </c>
      <c r="H5" s="166">
        <v>582961228410</v>
      </c>
      <c r="I5" s="166">
        <v>2024005013</v>
      </c>
      <c r="J5" s="166">
        <v>2024005014</v>
      </c>
      <c r="K5" s="166" t="s">
        <v>546</v>
      </c>
      <c r="L5" s="166">
        <v>2024005014</v>
      </c>
      <c r="M5" s="166">
        <v>2024005014</v>
      </c>
      <c r="N5" s="727">
        <v>2024005014</v>
      </c>
      <c r="O5" s="728">
        <v>2024005015</v>
      </c>
      <c r="P5" s="728">
        <v>2024005016</v>
      </c>
      <c r="Q5" s="166">
        <v>2024005017</v>
      </c>
      <c r="R5" s="729" t="s">
        <v>552</v>
      </c>
    </row>
    <row r="6" spans="1:18" ht="15.75" customHeight="1">
      <c r="A6" s="171" t="s">
        <v>555</v>
      </c>
      <c r="B6" s="231" t="s">
        <v>556</v>
      </c>
      <c r="C6" s="231">
        <v>100441700648</v>
      </c>
      <c r="D6" s="231" t="s">
        <v>557</v>
      </c>
      <c r="E6" s="231" t="s">
        <v>558</v>
      </c>
      <c r="F6" s="231">
        <v>3</v>
      </c>
      <c r="G6" s="166">
        <f t="shared" si="0"/>
        <v>4</v>
      </c>
      <c r="H6" s="166">
        <v>582961228421</v>
      </c>
      <c r="I6" s="231">
        <v>2024005016</v>
      </c>
      <c r="J6" s="231">
        <v>2024005017</v>
      </c>
      <c r="K6" s="231" t="s">
        <v>546</v>
      </c>
      <c r="L6" s="231">
        <v>2024005017</v>
      </c>
      <c r="M6" s="231">
        <v>2024005017</v>
      </c>
      <c r="N6" s="231">
        <v>2024005017</v>
      </c>
      <c r="O6" s="231">
        <v>2024005018</v>
      </c>
      <c r="P6" s="731">
        <v>2024005018</v>
      </c>
      <c r="Q6" s="731">
        <v>2024005020</v>
      </c>
      <c r="R6" s="734" t="s">
        <v>559</v>
      </c>
    </row>
    <row r="7" spans="1:18" ht="15.75" customHeight="1">
      <c r="A7" s="171" t="s">
        <v>563</v>
      </c>
      <c r="B7" s="231" t="s">
        <v>564</v>
      </c>
      <c r="C7" s="231">
        <v>100715605218</v>
      </c>
      <c r="D7" s="231" t="s">
        <v>565</v>
      </c>
      <c r="E7" s="231" t="s">
        <v>566</v>
      </c>
      <c r="F7" s="231">
        <v>6</v>
      </c>
      <c r="G7" s="166">
        <f t="shared" si="0"/>
        <v>4</v>
      </c>
      <c r="H7" s="166">
        <v>582961228432</v>
      </c>
      <c r="I7" s="231">
        <v>2024005017</v>
      </c>
      <c r="J7" s="231">
        <v>2024005018</v>
      </c>
      <c r="K7" s="231" t="s">
        <v>546</v>
      </c>
      <c r="L7" s="231">
        <v>2024005018</v>
      </c>
      <c r="M7" s="231">
        <v>2024005018</v>
      </c>
      <c r="N7" s="731">
        <v>2024005018</v>
      </c>
      <c r="O7" s="731">
        <v>2024005019</v>
      </c>
      <c r="P7" s="231">
        <v>2024005020</v>
      </c>
      <c r="Q7" s="231">
        <v>2024005021</v>
      </c>
      <c r="R7" s="734" t="s">
        <v>559</v>
      </c>
    </row>
    <row r="9" spans="1:18">
      <c r="A9" s="716" t="s">
        <v>567</v>
      </c>
    </row>
    <row r="11" spans="1:18" ht="15.75" customHeight="1">
      <c r="A11" s="717" t="s">
        <v>518</v>
      </c>
      <c r="B11" s="720" t="s">
        <v>519</v>
      </c>
      <c r="C11" s="720" t="s">
        <v>520</v>
      </c>
      <c r="D11" s="720" t="s">
        <v>521</v>
      </c>
      <c r="E11" s="720" t="s">
        <v>522</v>
      </c>
      <c r="F11" s="720" t="s">
        <v>523</v>
      </c>
      <c r="G11" s="735" t="s">
        <v>525</v>
      </c>
      <c r="H11" s="735" t="s">
        <v>526</v>
      </c>
      <c r="I11" s="720" t="s">
        <v>527</v>
      </c>
      <c r="J11" s="717" t="s">
        <v>528</v>
      </c>
      <c r="K11" s="735" t="s">
        <v>530</v>
      </c>
      <c r="L11" s="735" t="s">
        <v>531</v>
      </c>
      <c r="M11" s="735" t="s">
        <v>533</v>
      </c>
      <c r="N11" s="735" t="s">
        <v>534</v>
      </c>
      <c r="O11" s="735" t="s">
        <v>535</v>
      </c>
      <c r="P11" s="735" t="s">
        <v>536</v>
      </c>
      <c r="Q11" s="735" t="s">
        <v>537</v>
      </c>
      <c r="R11" s="735" t="s">
        <v>68</v>
      </c>
    </row>
    <row r="12" spans="1:18" ht="15.75" customHeight="1">
      <c r="A12" s="165" t="s">
        <v>568</v>
      </c>
      <c r="B12" s="166" t="s">
        <v>539</v>
      </c>
      <c r="C12" s="166">
        <v>100261204705</v>
      </c>
      <c r="D12" s="166" t="s">
        <v>541</v>
      </c>
      <c r="E12" s="165" t="s">
        <v>569</v>
      </c>
      <c r="F12" s="737">
        <v>2</v>
      </c>
      <c r="G12" s="165">
        <f t="shared" ref="G12:G13" si="1">Q12-I12</f>
        <v>4</v>
      </c>
      <c r="H12" s="298">
        <v>582961228443</v>
      </c>
      <c r="I12" s="739">
        <v>2024005024</v>
      </c>
      <c r="J12" s="739">
        <v>2024005027</v>
      </c>
      <c r="K12" s="298" t="s">
        <v>573</v>
      </c>
      <c r="L12" s="166">
        <v>2024005027</v>
      </c>
      <c r="M12" s="166">
        <v>2024005027</v>
      </c>
      <c r="N12" s="166">
        <v>2024005027</v>
      </c>
      <c r="O12" s="166">
        <v>2024005027</v>
      </c>
      <c r="P12" s="166">
        <v>2024005027</v>
      </c>
      <c r="Q12" s="166">
        <v>2024005028</v>
      </c>
      <c r="R12" s="298"/>
    </row>
    <row r="13" spans="1:18" ht="15.75" customHeight="1">
      <c r="A13" s="171" t="s">
        <v>574</v>
      </c>
      <c r="B13" s="231" t="s">
        <v>556</v>
      </c>
      <c r="C13" s="231">
        <v>100441700648</v>
      </c>
      <c r="D13" s="231" t="s">
        <v>557</v>
      </c>
      <c r="E13" s="171" t="s">
        <v>558</v>
      </c>
      <c r="F13" s="740">
        <v>2</v>
      </c>
      <c r="G13" s="165">
        <f t="shared" si="1"/>
        <v>973</v>
      </c>
      <c r="H13" s="298">
        <v>582961228454</v>
      </c>
      <c r="I13" s="231">
        <v>2024005030</v>
      </c>
      <c r="J13" s="231">
        <v>2024005031</v>
      </c>
      <c r="K13" s="298" t="s">
        <v>573</v>
      </c>
      <c r="L13" s="166">
        <v>2024005031</v>
      </c>
      <c r="M13" s="231">
        <v>2024005031</v>
      </c>
      <c r="N13" s="231">
        <v>2024005031</v>
      </c>
      <c r="O13" s="231">
        <v>2024005031</v>
      </c>
      <c r="P13" s="731">
        <v>2024005031</v>
      </c>
      <c r="Q13" s="728">
        <v>2024006003</v>
      </c>
      <c r="R13" s="298"/>
    </row>
    <row r="16" spans="1:18">
      <c r="A16" s="716" t="s">
        <v>581</v>
      </c>
    </row>
    <row r="18" spans="1:7" ht="15.75" customHeight="1">
      <c r="A18" s="311"/>
      <c r="B18" s="741" t="s">
        <v>583</v>
      </c>
      <c r="C18" s="742" t="s">
        <v>585</v>
      </c>
      <c r="D18" s="742" t="s">
        <v>586</v>
      </c>
      <c r="E18" s="742" t="s">
        <v>535</v>
      </c>
      <c r="F18" s="742" t="s">
        <v>536</v>
      </c>
      <c r="G18" s="742" t="s">
        <v>587</v>
      </c>
    </row>
    <row r="19" spans="1:7" ht="15.75" customHeight="1">
      <c r="A19" s="311" t="s">
        <v>588</v>
      </c>
      <c r="B19" s="745">
        <v>0</v>
      </c>
      <c r="C19" s="745">
        <v>0</v>
      </c>
      <c r="D19" s="745">
        <v>0</v>
      </c>
      <c r="E19" s="746" t="s">
        <v>589</v>
      </c>
      <c r="F19" s="747" t="s">
        <v>590</v>
      </c>
      <c r="G19" s="746" t="s">
        <v>591</v>
      </c>
    </row>
    <row r="20" spans="1:7" ht="15.75" customHeight="1">
      <c r="A20" s="311" t="s">
        <v>592</v>
      </c>
      <c r="B20" s="749">
        <v>0</v>
      </c>
      <c r="C20" s="749">
        <v>0</v>
      </c>
      <c r="D20" s="750" t="s">
        <v>593</v>
      </c>
      <c r="E20" s="750" t="s">
        <v>594</v>
      </c>
      <c r="F20" s="750" t="s">
        <v>595</v>
      </c>
      <c r="G20" s="750" t="s">
        <v>596</v>
      </c>
    </row>
  </sheetData>
  <phoneticPr fontId="86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2:X31"/>
  <sheetViews>
    <sheetView workbookViewId="0"/>
  </sheetViews>
  <sheetFormatPr defaultColWidth="14.42578125" defaultRowHeight="15.75" customHeight="1"/>
  <cols>
    <col min="1" max="1" width="3.7109375" customWidth="1"/>
    <col min="11" max="11" width="15.28515625" customWidth="1"/>
    <col min="13" max="13" width="15.5703125" customWidth="1"/>
  </cols>
  <sheetData>
    <row r="2" spans="1:24" ht="24" customHeight="1">
      <c r="A2" s="701"/>
      <c r="B2" s="722" t="s">
        <v>524</v>
      </c>
      <c r="C2" s="722" t="s">
        <v>529</v>
      </c>
      <c r="D2" s="1000" t="s">
        <v>532</v>
      </c>
      <c r="E2" s="879"/>
      <c r="F2" s="879"/>
      <c r="G2" s="879"/>
      <c r="H2" s="879"/>
      <c r="I2" s="860"/>
      <c r="R2" s="723" t="s">
        <v>540</v>
      </c>
    </row>
    <row r="3" spans="1:24" ht="24" customHeight="1">
      <c r="A3" s="724"/>
      <c r="B3" s="725" t="s">
        <v>543</v>
      </c>
      <c r="C3" s="725">
        <v>0</v>
      </c>
      <c r="D3" s="1001" t="s">
        <v>544</v>
      </c>
      <c r="E3" s="879"/>
      <c r="F3" s="879"/>
      <c r="G3" s="879"/>
      <c r="H3" s="879"/>
      <c r="I3" s="860"/>
      <c r="R3" s="726" t="s">
        <v>545</v>
      </c>
      <c r="S3" s="726" t="s">
        <v>524</v>
      </c>
      <c r="T3" s="726" t="s">
        <v>547</v>
      </c>
      <c r="U3" s="726" t="s">
        <v>548</v>
      </c>
      <c r="V3" s="726" t="s">
        <v>549</v>
      </c>
      <c r="W3" s="726" t="s">
        <v>550</v>
      </c>
      <c r="X3" s="726" t="s">
        <v>551</v>
      </c>
    </row>
    <row r="4" spans="1:24" ht="24" customHeight="1">
      <c r="A4" s="724"/>
      <c r="B4" s="1002" t="s">
        <v>540</v>
      </c>
      <c r="C4" s="725" t="s">
        <v>553</v>
      </c>
      <c r="D4" s="1001" t="s">
        <v>554</v>
      </c>
      <c r="E4" s="879"/>
      <c r="F4" s="879"/>
      <c r="G4" s="879"/>
      <c r="H4" s="879"/>
      <c r="I4" s="860"/>
      <c r="R4" s="730">
        <v>20</v>
      </c>
      <c r="S4" s="730">
        <v>21</v>
      </c>
      <c r="T4" s="730">
        <v>22</v>
      </c>
      <c r="U4" s="730">
        <v>23</v>
      </c>
      <c r="V4" s="730">
        <v>24</v>
      </c>
      <c r="W4" s="730">
        <v>25</v>
      </c>
      <c r="X4" s="730">
        <v>26</v>
      </c>
    </row>
    <row r="5" spans="1:24" ht="24" customHeight="1">
      <c r="A5" s="732"/>
      <c r="B5" s="865"/>
      <c r="C5" s="725" t="s">
        <v>560</v>
      </c>
      <c r="D5" s="725" t="s">
        <v>561</v>
      </c>
      <c r="E5" s="988" t="s">
        <v>562</v>
      </c>
      <c r="F5" s="879"/>
      <c r="G5" s="879"/>
      <c r="H5" s="879"/>
      <c r="I5" s="860"/>
      <c r="R5" s="736"/>
      <c r="S5" s="738"/>
      <c r="T5" s="738"/>
      <c r="U5" s="738"/>
      <c r="V5" s="738"/>
      <c r="W5" s="738"/>
      <c r="X5" s="738"/>
    </row>
    <row r="6" spans="1:24" ht="24" customHeight="1">
      <c r="A6" s="732"/>
      <c r="B6" s="1002" t="s">
        <v>570</v>
      </c>
      <c r="C6" s="725" t="s">
        <v>571</v>
      </c>
      <c r="D6" s="725" t="s">
        <v>572</v>
      </c>
      <c r="E6" s="987">
        <v>45597</v>
      </c>
      <c r="F6" s="879"/>
      <c r="G6" s="879"/>
      <c r="H6" s="879"/>
      <c r="I6" s="860"/>
      <c r="R6" s="997"/>
      <c r="S6" s="998"/>
      <c r="T6" s="998"/>
      <c r="U6" s="998"/>
      <c r="V6" s="998"/>
      <c r="W6" s="998"/>
      <c r="X6" s="999"/>
    </row>
    <row r="7" spans="1:24" ht="24" customHeight="1">
      <c r="A7" s="732"/>
      <c r="B7" s="865"/>
      <c r="C7" s="725" t="s">
        <v>576</v>
      </c>
      <c r="D7" s="725" t="s">
        <v>577</v>
      </c>
      <c r="E7" s="988" t="s">
        <v>578</v>
      </c>
      <c r="F7" s="879"/>
      <c r="G7" s="879"/>
      <c r="H7" s="879"/>
      <c r="I7" s="860"/>
      <c r="R7" s="730">
        <v>27</v>
      </c>
      <c r="S7" s="730">
        <v>28</v>
      </c>
      <c r="T7" s="730">
        <v>29</v>
      </c>
      <c r="U7" s="730">
        <v>30</v>
      </c>
      <c r="V7" s="730">
        <v>31</v>
      </c>
      <c r="W7" s="730">
        <v>1</v>
      </c>
      <c r="X7" s="730">
        <v>2</v>
      </c>
    </row>
    <row r="8" spans="1:24" ht="24" customHeight="1">
      <c r="A8" s="701"/>
      <c r="B8" s="866"/>
      <c r="C8" s="725" t="s">
        <v>579</v>
      </c>
      <c r="D8" s="725" t="s">
        <v>580</v>
      </c>
      <c r="E8" s="988" t="s">
        <v>582</v>
      </c>
      <c r="F8" s="879"/>
      <c r="G8" s="879"/>
      <c r="H8" s="879"/>
      <c r="I8" s="860"/>
      <c r="R8" s="736"/>
      <c r="S8" s="738"/>
      <c r="T8" s="994" t="s">
        <v>584</v>
      </c>
      <c r="U8" s="995"/>
      <c r="V8" s="995"/>
      <c r="W8" s="996"/>
      <c r="X8" s="743"/>
    </row>
    <row r="9" spans="1:24" ht="24" customHeight="1">
      <c r="A9" s="701"/>
      <c r="R9" s="997"/>
      <c r="S9" s="998"/>
      <c r="T9" s="998"/>
      <c r="U9" s="998"/>
      <c r="V9" s="998"/>
      <c r="W9" s="998"/>
      <c r="X9" s="999"/>
    </row>
    <row r="10" spans="1:24" ht="21" customHeight="1">
      <c r="A10" s="744"/>
      <c r="J10" s="149"/>
      <c r="K10" s="149"/>
      <c r="L10" s="149"/>
      <c r="M10" s="149"/>
      <c r="R10" s="701"/>
      <c r="S10" s="701"/>
      <c r="T10" s="701"/>
      <c r="U10" s="701"/>
      <c r="V10" s="701"/>
      <c r="W10" s="701"/>
      <c r="X10" s="701"/>
    </row>
    <row r="11" spans="1:24" ht="21" customHeight="1">
      <c r="A11" s="744"/>
      <c r="R11" s="723" t="s">
        <v>570</v>
      </c>
      <c r="S11" s="701"/>
      <c r="T11" s="701"/>
      <c r="U11" s="701"/>
      <c r="V11" s="701"/>
      <c r="W11" s="701"/>
      <c r="X11" s="701"/>
    </row>
    <row r="12" spans="1:24" ht="21" customHeight="1">
      <c r="A12" s="744"/>
      <c r="R12" s="748" t="s">
        <v>545</v>
      </c>
      <c r="S12" s="748" t="s">
        <v>524</v>
      </c>
      <c r="T12" s="748" t="s">
        <v>547</v>
      </c>
      <c r="U12" s="748" t="s">
        <v>548</v>
      </c>
      <c r="V12" s="748" t="s">
        <v>549</v>
      </c>
      <c r="W12" s="748" t="s">
        <v>550</v>
      </c>
      <c r="X12" s="748" t="s">
        <v>551</v>
      </c>
    </row>
    <row r="13" spans="1:24" ht="21" customHeight="1">
      <c r="A13" s="744"/>
      <c r="R13" s="730">
        <v>3</v>
      </c>
      <c r="S13" s="730">
        <v>4</v>
      </c>
      <c r="T13" s="730">
        <v>5</v>
      </c>
      <c r="U13" s="730">
        <v>6</v>
      </c>
      <c r="V13" s="730">
        <v>7</v>
      </c>
      <c r="W13" s="730">
        <v>8</v>
      </c>
      <c r="X13" s="730">
        <v>9</v>
      </c>
    </row>
    <row r="14" spans="1:24" ht="21" customHeight="1">
      <c r="A14" s="744"/>
      <c r="R14" s="736"/>
      <c r="S14" s="751" t="s">
        <v>572</v>
      </c>
      <c r="T14" s="752"/>
      <c r="U14" s="753"/>
      <c r="V14" s="753"/>
      <c r="W14" s="754"/>
      <c r="X14" s="743"/>
    </row>
    <row r="15" spans="1:24" ht="21" customHeight="1">
      <c r="A15" s="744"/>
      <c r="B15" s="989" t="s">
        <v>597</v>
      </c>
      <c r="C15" s="905"/>
      <c r="D15" s="905"/>
      <c r="E15" s="905"/>
      <c r="F15" s="905"/>
      <c r="G15" s="149"/>
      <c r="H15" s="149"/>
      <c r="I15" s="149"/>
      <c r="J15" s="149"/>
      <c r="K15" s="149"/>
      <c r="L15" s="149"/>
      <c r="M15" s="149"/>
      <c r="R15" s="997" t="s">
        <v>561</v>
      </c>
      <c r="S15" s="998"/>
      <c r="T15" s="998"/>
      <c r="U15" s="998"/>
      <c r="V15" s="998"/>
      <c r="W15" s="998"/>
      <c r="X15" s="999"/>
    </row>
    <row r="16" spans="1:24" ht="21" customHeight="1">
      <c r="A16" s="744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</row>
    <row r="17" spans="1:13" ht="21" customHeight="1">
      <c r="A17" s="744"/>
      <c r="B17" s="990"/>
      <c r="C17" s="756"/>
      <c r="D17" s="756" t="s">
        <v>598</v>
      </c>
      <c r="E17" s="756" t="s">
        <v>599</v>
      </c>
      <c r="F17" s="756" t="s">
        <v>600</v>
      </c>
      <c r="G17" s="757" t="s">
        <v>599</v>
      </c>
      <c r="H17" s="991" t="s">
        <v>601</v>
      </c>
      <c r="I17" s="991" t="s">
        <v>602</v>
      </c>
      <c r="J17" s="992" t="s">
        <v>603</v>
      </c>
      <c r="K17" s="860"/>
      <c r="L17" s="993" t="s">
        <v>604</v>
      </c>
      <c r="M17" s="863"/>
    </row>
    <row r="18" spans="1:13" ht="14.25">
      <c r="B18" s="866"/>
      <c r="C18" s="758"/>
      <c r="D18" s="758" t="s">
        <v>185</v>
      </c>
      <c r="E18" s="758" t="s">
        <v>220</v>
      </c>
      <c r="F18" s="758" t="s">
        <v>166</v>
      </c>
      <c r="G18" s="759" t="s">
        <v>605</v>
      </c>
      <c r="H18" s="866"/>
      <c r="I18" s="866"/>
      <c r="J18" s="760" t="s">
        <v>606</v>
      </c>
      <c r="K18" s="756" t="s">
        <v>607</v>
      </c>
      <c r="L18" s="756" t="s">
        <v>608</v>
      </c>
      <c r="M18" s="756" t="s">
        <v>609</v>
      </c>
    </row>
    <row r="19" spans="1:13" ht="14.25">
      <c r="B19" s="171" t="s">
        <v>610</v>
      </c>
      <c r="C19" s="230"/>
      <c r="D19" s="230">
        <v>1294</v>
      </c>
      <c r="E19" s="231">
        <v>0</v>
      </c>
      <c r="F19" s="231">
        <v>442</v>
      </c>
      <c r="G19" s="761">
        <v>1619</v>
      </c>
      <c r="H19" s="177">
        <v>3417</v>
      </c>
      <c r="I19" s="231">
        <v>12.7</v>
      </c>
      <c r="J19" s="740">
        <v>270</v>
      </c>
      <c r="K19" s="171">
        <v>1</v>
      </c>
      <c r="L19" s="230">
        <v>3147</v>
      </c>
      <c r="M19" s="231">
        <v>12</v>
      </c>
    </row>
    <row r="20" spans="1:13" ht="14.25">
      <c r="B20" s="171" t="s">
        <v>476</v>
      </c>
      <c r="C20" s="230"/>
      <c r="D20" s="230">
        <v>8072</v>
      </c>
      <c r="E20" s="231">
        <v>0</v>
      </c>
      <c r="F20" s="231">
        <v>752</v>
      </c>
      <c r="G20" s="761">
        <v>2758</v>
      </c>
      <c r="H20" s="177">
        <v>7414</v>
      </c>
      <c r="I20" s="231">
        <v>27.5</v>
      </c>
      <c r="J20" s="740">
        <v>540</v>
      </c>
      <c r="K20" s="171">
        <v>2</v>
      </c>
      <c r="L20" s="230">
        <v>6874</v>
      </c>
      <c r="M20" s="231">
        <v>26</v>
      </c>
    </row>
    <row r="21" spans="1:13" ht="14.25">
      <c r="B21" s="171" t="s">
        <v>478</v>
      </c>
      <c r="C21" s="230"/>
      <c r="D21" s="230">
        <v>5544</v>
      </c>
      <c r="E21" s="230">
        <v>11070</v>
      </c>
      <c r="F21" s="230">
        <v>1041</v>
      </c>
      <c r="G21" s="761">
        <v>3817</v>
      </c>
      <c r="H21" s="177">
        <v>10549</v>
      </c>
      <c r="I21" s="231">
        <v>39.1</v>
      </c>
      <c r="J21" s="740">
        <v>810</v>
      </c>
      <c r="K21" s="171">
        <v>3</v>
      </c>
      <c r="L21" s="230">
        <v>9739</v>
      </c>
      <c r="M21" s="231">
        <v>37</v>
      </c>
    </row>
    <row r="22" spans="1:13" ht="14.25">
      <c r="B22" s="171" t="s">
        <v>479</v>
      </c>
      <c r="C22" s="230"/>
      <c r="D22" s="230">
        <v>2398</v>
      </c>
      <c r="E22" s="231">
        <v>810</v>
      </c>
      <c r="F22" s="231">
        <v>121</v>
      </c>
      <c r="G22" s="740">
        <v>442</v>
      </c>
      <c r="H22" s="177">
        <v>2301</v>
      </c>
      <c r="I22" s="231">
        <v>8.5</v>
      </c>
      <c r="J22" s="740">
        <v>270</v>
      </c>
      <c r="K22" s="171">
        <v>1</v>
      </c>
      <c r="L22" s="230">
        <v>2031</v>
      </c>
      <c r="M22" s="231">
        <v>8</v>
      </c>
    </row>
    <row r="23" spans="1:13" ht="14.25">
      <c r="B23" s="171" t="s">
        <v>611</v>
      </c>
      <c r="C23" s="230"/>
      <c r="D23" s="230">
        <v>26908</v>
      </c>
      <c r="E23" s="230">
        <v>37180</v>
      </c>
      <c r="F23" s="230">
        <v>4678</v>
      </c>
      <c r="G23" s="761">
        <v>17152</v>
      </c>
      <c r="H23" s="177">
        <v>38453</v>
      </c>
      <c r="I23" s="231">
        <v>100.1</v>
      </c>
      <c r="J23" s="761">
        <v>2688</v>
      </c>
      <c r="K23" s="171">
        <v>7</v>
      </c>
      <c r="L23" s="230">
        <v>35765</v>
      </c>
      <c r="M23" s="231">
        <v>94</v>
      </c>
    </row>
    <row r="24" spans="1:13" ht="14.25">
      <c r="B24" s="171" t="s">
        <v>612</v>
      </c>
      <c r="C24" s="230"/>
      <c r="D24" s="230">
        <v>23329</v>
      </c>
      <c r="E24" s="230">
        <v>61256</v>
      </c>
      <c r="F24" s="230">
        <v>6826</v>
      </c>
      <c r="G24" s="761">
        <v>25027</v>
      </c>
      <c r="H24" s="177">
        <v>50853</v>
      </c>
      <c r="I24" s="231">
        <v>132.4</v>
      </c>
      <c r="J24" s="761">
        <v>3840</v>
      </c>
      <c r="K24" s="171">
        <v>10</v>
      </c>
      <c r="L24" s="230">
        <v>47013</v>
      </c>
      <c r="M24" s="231">
        <v>123</v>
      </c>
    </row>
    <row r="25" spans="1:13" ht="14.25">
      <c r="B25" s="171" t="s">
        <v>613</v>
      </c>
      <c r="C25" s="230"/>
      <c r="D25" s="230">
        <v>19117</v>
      </c>
      <c r="E25" s="230">
        <v>33024</v>
      </c>
      <c r="F25" s="230">
        <v>7349</v>
      </c>
      <c r="G25" s="761">
        <v>26945</v>
      </c>
      <c r="H25" s="177">
        <v>52493</v>
      </c>
      <c r="I25" s="231">
        <v>136.69999999999999</v>
      </c>
      <c r="J25" s="761">
        <v>4608</v>
      </c>
      <c r="K25" s="171">
        <v>12</v>
      </c>
      <c r="L25" s="230">
        <v>47885</v>
      </c>
      <c r="M25" s="231">
        <v>125</v>
      </c>
    </row>
    <row r="26" spans="1:13" ht="14.25">
      <c r="B26" s="171" t="s">
        <v>614</v>
      </c>
      <c r="C26" s="230"/>
      <c r="D26" s="230">
        <v>1</v>
      </c>
      <c r="E26" s="230">
        <v>3500</v>
      </c>
      <c r="F26" s="231">
        <v>421</v>
      </c>
      <c r="G26" s="761">
        <v>1545</v>
      </c>
      <c r="H26" s="177">
        <v>3661</v>
      </c>
      <c r="I26" s="231">
        <v>9.5</v>
      </c>
      <c r="J26" s="761">
        <v>1152</v>
      </c>
      <c r="K26" s="171">
        <v>3</v>
      </c>
      <c r="L26" s="230">
        <v>2509</v>
      </c>
      <c r="M26" s="231">
        <v>7</v>
      </c>
    </row>
    <row r="27" spans="1:13" ht="14.25">
      <c r="B27" s="171" t="s">
        <v>133</v>
      </c>
      <c r="C27" s="231"/>
      <c r="D27" s="231">
        <v>1336</v>
      </c>
      <c r="E27" s="230">
        <v>3024</v>
      </c>
      <c r="F27" s="231">
        <v>282</v>
      </c>
      <c r="G27" s="761">
        <v>1034</v>
      </c>
      <c r="H27" s="177">
        <v>2018</v>
      </c>
      <c r="I27" s="231">
        <v>2</v>
      </c>
      <c r="J27" s="740">
        <v>504</v>
      </c>
      <c r="K27" s="171">
        <v>0.5</v>
      </c>
      <c r="L27" s="230">
        <v>1514</v>
      </c>
      <c r="M27" s="231">
        <v>2</v>
      </c>
    </row>
    <row r="28" spans="1:13" ht="14.25">
      <c r="B28" s="764" t="s">
        <v>134</v>
      </c>
      <c r="C28" s="699"/>
      <c r="D28" s="699">
        <v>334</v>
      </c>
      <c r="E28" s="698">
        <v>1008</v>
      </c>
      <c r="F28" s="699">
        <v>97</v>
      </c>
      <c r="G28" s="162">
        <v>357</v>
      </c>
      <c r="H28" s="765">
        <v>1303</v>
      </c>
      <c r="I28" s="699">
        <v>1.3</v>
      </c>
      <c r="J28" s="162">
        <v>504</v>
      </c>
      <c r="K28" s="171">
        <v>0.5</v>
      </c>
      <c r="L28" s="231">
        <v>799</v>
      </c>
      <c r="M28" s="231">
        <v>1</v>
      </c>
    </row>
    <row r="29" spans="1:13" ht="14.25">
      <c r="B29" s="165" t="s">
        <v>615</v>
      </c>
      <c r="C29" s="229"/>
      <c r="D29" s="229">
        <f t="shared" ref="D29:M29" si="0">SUM(D19:D28)</f>
        <v>88333</v>
      </c>
      <c r="E29" s="229">
        <f t="shared" si="0"/>
        <v>150872</v>
      </c>
      <c r="F29" s="229">
        <f t="shared" si="0"/>
        <v>22009</v>
      </c>
      <c r="G29" s="229">
        <f t="shared" si="0"/>
        <v>80696</v>
      </c>
      <c r="H29" s="229">
        <f t="shared" si="0"/>
        <v>172462</v>
      </c>
      <c r="I29" s="229">
        <f t="shared" si="0"/>
        <v>469.8</v>
      </c>
      <c r="J29" s="229">
        <f t="shared" si="0"/>
        <v>15186</v>
      </c>
      <c r="K29" s="229">
        <f t="shared" si="0"/>
        <v>40</v>
      </c>
      <c r="L29" s="229">
        <f t="shared" si="0"/>
        <v>157276</v>
      </c>
      <c r="M29" s="229">
        <f t="shared" si="0"/>
        <v>435</v>
      </c>
    </row>
    <row r="30" spans="1:13" ht="14.25">
      <c r="B30" s="149"/>
      <c r="C30" s="149"/>
      <c r="D30" s="149"/>
      <c r="E30" s="149"/>
      <c r="F30" s="149"/>
      <c r="G30" s="149"/>
      <c r="H30" s="149"/>
      <c r="I30" s="149"/>
      <c r="J30" s="766" t="s">
        <v>616</v>
      </c>
      <c r="K30" s="767">
        <v>2</v>
      </c>
      <c r="L30" s="734" t="s">
        <v>616</v>
      </c>
      <c r="M30" s="767">
        <v>22</v>
      </c>
    </row>
    <row r="31" spans="1:13" ht="14.25">
      <c r="B31" s="149"/>
      <c r="C31" s="149"/>
      <c r="D31" s="149"/>
      <c r="E31" s="149"/>
      <c r="F31" s="149"/>
      <c r="G31" s="149"/>
      <c r="H31" s="149"/>
      <c r="I31" s="149"/>
      <c r="J31" s="766" t="s">
        <v>617</v>
      </c>
      <c r="K31" s="767">
        <v>1</v>
      </c>
      <c r="L31" s="734" t="s">
        <v>617</v>
      </c>
      <c r="M31" s="767">
        <v>5</v>
      </c>
    </row>
  </sheetData>
  <mergeCells count="19">
    <mergeCell ref="R6:X6"/>
    <mergeCell ref="D2:I2"/>
    <mergeCell ref="D3:I3"/>
    <mergeCell ref="B4:B5"/>
    <mergeCell ref="D4:I4"/>
    <mergeCell ref="E5:I5"/>
    <mergeCell ref="J17:K17"/>
    <mergeCell ref="L17:M17"/>
    <mergeCell ref="E8:I8"/>
    <mergeCell ref="T8:W8"/>
    <mergeCell ref="R9:X9"/>
    <mergeCell ref="R15:X15"/>
    <mergeCell ref="E6:I6"/>
    <mergeCell ref="E7:I7"/>
    <mergeCell ref="B15:F15"/>
    <mergeCell ref="B17:B18"/>
    <mergeCell ref="H17:H18"/>
    <mergeCell ref="I17:I18"/>
    <mergeCell ref="B6:B8"/>
  </mergeCells>
  <phoneticPr fontId="8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"/>
  <sheetViews>
    <sheetView workbookViewId="0"/>
  </sheetViews>
  <sheetFormatPr defaultColWidth="14.42578125" defaultRowHeight="15.75" customHeight="1"/>
  <sheetData/>
  <phoneticPr fontId="8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F1000"/>
  <sheetViews>
    <sheetView workbookViewId="0"/>
  </sheetViews>
  <sheetFormatPr defaultColWidth="14.42578125" defaultRowHeight="15.75" customHeight="1"/>
  <cols>
    <col min="1" max="1" width="5.140625" customWidth="1"/>
  </cols>
  <sheetData>
    <row r="1" spans="1:6" ht="15.75" customHeight="1">
      <c r="A1" s="184"/>
    </row>
    <row r="2" spans="1:6" ht="15.75" customHeight="1">
      <c r="A2" s="184"/>
    </row>
    <row r="3" spans="1:6" ht="15.75" customHeight="1">
      <c r="A3" s="771"/>
      <c r="B3" s="1003" t="s">
        <v>618</v>
      </c>
      <c r="C3" s="905"/>
      <c r="D3" s="905"/>
      <c r="E3" s="149"/>
    </row>
    <row r="4" spans="1:6" ht="15.75" customHeight="1">
      <c r="A4" s="772"/>
      <c r="B4" s="773" t="s">
        <v>395</v>
      </c>
      <c r="C4" s="774" t="s">
        <v>619</v>
      </c>
      <c r="D4" s="774" t="s">
        <v>620</v>
      </c>
      <c r="E4" s="774" t="s">
        <v>621</v>
      </c>
    </row>
    <row r="5" spans="1:6" ht="15.75" customHeight="1">
      <c r="A5" s="772"/>
      <c r="B5" s="775" t="s">
        <v>622</v>
      </c>
      <c r="C5" s="776">
        <v>14283</v>
      </c>
      <c r="D5" s="777">
        <v>0.5</v>
      </c>
      <c r="E5" s="776">
        <f>C5/6</f>
        <v>2380.5</v>
      </c>
    </row>
    <row r="6" spans="1:6" ht="15.75" customHeight="1">
      <c r="A6" s="772"/>
      <c r="B6" s="775" t="s">
        <v>623</v>
      </c>
      <c r="C6" s="776">
        <v>10556</v>
      </c>
      <c r="D6" s="777">
        <v>0.37</v>
      </c>
      <c r="E6" s="776">
        <f>C6/4</f>
        <v>2639</v>
      </c>
    </row>
    <row r="7" spans="1:6" ht="15.75" customHeight="1">
      <c r="A7" s="772"/>
      <c r="B7" s="775" t="s">
        <v>624</v>
      </c>
      <c r="C7" s="776">
        <v>3683</v>
      </c>
      <c r="D7" s="777">
        <v>0.13</v>
      </c>
      <c r="E7" s="776">
        <f>C7/3</f>
        <v>1227.6666666666667</v>
      </c>
    </row>
    <row r="8" spans="1:6" ht="15.75" customHeight="1">
      <c r="A8" s="772"/>
      <c r="B8" s="778" t="s">
        <v>615</v>
      </c>
      <c r="C8" s="779">
        <f t="shared" ref="C8:E8" si="0">SUM(C5:C7)</f>
        <v>28522</v>
      </c>
      <c r="D8" s="780">
        <f t="shared" si="0"/>
        <v>1</v>
      </c>
      <c r="E8" s="779">
        <f t="shared" si="0"/>
        <v>6247.166666666667</v>
      </c>
    </row>
    <row r="9" spans="1:6" ht="15.75" customHeight="1">
      <c r="A9" s="184"/>
    </row>
    <row r="10" spans="1:6" ht="15.75" customHeight="1">
      <c r="A10" s="184"/>
    </row>
    <row r="11" spans="1:6">
      <c r="A11" s="781"/>
      <c r="B11" s="782" t="s">
        <v>625</v>
      </c>
      <c r="C11" s="149"/>
      <c r="D11" s="149"/>
      <c r="E11" s="149"/>
      <c r="F11" s="149"/>
    </row>
    <row r="12" spans="1:6">
      <c r="A12" s="783"/>
      <c r="B12" s="784"/>
      <c r="C12" s="785"/>
      <c r="D12" s="785"/>
      <c r="E12" s="786" t="s">
        <v>626</v>
      </c>
      <c r="F12" s="787">
        <v>177.9</v>
      </c>
    </row>
    <row r="13" spans="1:6" ht="15.75" customHeight="1">
      <c r="A13" s="788"/>
      <c r="B13" s="789" t="s">
        <v>627</v>
      </c>
      <c r="C13" s="739" t="s">
        <v>628</v>
      </c>
      <c r="D13" s="739" t="s">
        <v>629</v>
      </c>
      <c r="E13" s="790" t="s">
        <v>630</v>
      </c>
      <c r="F13" s="790" t="s">
        <v>631</v>
      </c>
    </row>
    <row r="14" spans="1:6" ht="15.75" customHeight="1">
      <c r="A14" s="791"/>
      <c r="B14" s="171" t="s">
        <v>632</v>
      </c>
      <c r="C14" s="231">
        <f t="shared" ref="C14:C15" si="1">5*$F$12</f>
        <v>889.5</v>
      </c>
      <c r="D14" s="231" t="s">
        <v>633</v>
      </c>
      <c r="E14" s="231">
        <v>153</v>
      </c>
      <c r="F14" s="230">
        <f t="shared" ref="F14:F15" si="2">E14*C14</f>
        <v>136093.5</v>
      </c>
    </row>
    <row r="15" spans="1:6" ht="15.75" customHeight="1">
      <c r="A15" s="791"/>
      <c r="B15" s="171" t="s">
        <v>634</v>
      </c>
      <c r="C15" s="231">
        <f t="shared" si="1"/>
        <v>889.5</v>
      </c>
      <c r="D15" s="231" t="s">
        <v>633</v>
      </c>
      <c r="E15" s="230">
        <v>6247</v>
      </c>
      <c r="F15" s="230">
        <f t="shared" si="2"/>
        <v>5556706.5</v>
      </c>
    </row>
    <row r="16" spans="1:6" ht="15.75" customHeight="1">
      <c r="A16" s="792"/>
      <c r="B16" s="793" t="s">
        <v>635</v>
      </c>
      <c r="C16" s="794"/>
      <c r="D16" s="794"/>
      <c r="E16" s="795">
        <f t="shared" ref="E16:F16" si="3">E14+E15</f>
        <v>6400</v>
      </c>
      <c r="F16" s="795">
        <f t="shared" si="3"/>
        <v>5692800</v>
      </c>
    </row>
    <row r="17" spans="1:1" ht="15.75" customHeight="1">
      <c r="A17" s="184"/>
    </row>
    <row r="18" spans="1:1" ht="15.75" customHeight="1">
      <c r="A18" s="184"/>
    </row>
    <row r="19" spans="1:1" ht="15.75" customHeight="1">
      <c r="A19" s="184"/>
    </row>
    <row r="20" spans="1:1" ht="15.75" customHeight="1">
      <c r="A20" s="184"/>
    </row>
    <row r="21" spans="1:1" ht="15.75" customHeight="1">
      <c r="A21" s="184"/>
    </row>
    <row r="22" spans="1:1" ht="15.75" customHeight="1">
      <c r="A22" s="184"/>
    </row>
    <row r="23" spans="1:1" ht="15.75" customHeight="1">
      <c r="A23" s="184"/>
    </row>
    <row r="24" spans="1:1" ht="15.75" customHeight="1">
      <c r="A24" s="184"/>
    </row>
    <row r="25" spans="1:1" ht="15.75" customHeight="1">
      <c r="A25" s="184"/>
    </row>
    <row r="26" spans="1:1" ht="15.75" customHeight="1">
      <c r="A26" s="184"/>
    </row>
    <row r="27" spans="1:1" ht="15.75" customHeight="1">
      <c r="A27" s="184"/>
    </row>
    <row r="28" spans="1:1" ht="15.75" customHeight="1">
      <c r="A28" s="184"/>
    </row>
    <row r="29" spans="1:1" ht="15.75" customHeight="1">
      <c r="A29" s="184"/>
    </row>
    <row r="30" spans="1:1" ht="15.75" customHeight="1">
      <c r="A30" s="184"/>
    </row>
    <row r="31" spans="1:1" ht="15.75" customHeight="1">
      <c r="A31" s="184"/>
    </row>
    <row r="32" spans="1:1" ht="15.75" customHeight="1">
      <c r="A32" s="184"/>
    </row>
    <row r="33" spans="1:1" ht="15.75" customHeight="1">
      <c r="A33" s="184"/>
    </row>
    <row r="34" spans="1:1" ht="15.75" customHeight="1">
      <c r="A34" s="184"/>
    </row>
    <row r="35" spans="1:1" ht="15.75" customHeight="1">
      <c r="A35" s="184"/>
    </row>
    <row r="36" spans="1:1" ht="15.75" customHeight="1">
      <c r="A36" s="184"/>
    </row>
    <row r="37" spans="1:1" ht="12.75">
      <c r="A37" s="184"/>
    </row>
    <row r="38" spans="1:1" ht="12.75">
      <c r="A38" s="184"/>
    </row>
    <row r="39" spans="1:1" ht="12.75">
      <c r="A39" s="184"/>
    </row>
    <row r="40" spans="1:1" ht="12.75">
      <c r="A40" s="184"/>
    </row>
    <row r="41" spans="1:1" ht="12.75">
      <c r="A41" s="184"/>
    </row>
    <row r="42" spans="1:1" ht="12.75">
      <c r="A42" s="184"/>
    </row>
    <row r="43" spans="1:1" ht="12.75">
      <c r="A43" s="184"/>
    </row>
    <row r="44" spans="1:1" ht="12.75">
      <c r="A44" s="184"/>
    </row>
    <row r="45" spans="1:1" ht="12.75">
      <c r="A45" s="184"/>
    </row>
    <row r="46" spans="1:1" ht="12.75">
      <c r="A46" s="184"/>
    </row>
    <row r="47" spans="1:1" ht="12.75">
      <c r="A47" s="184"/>
    </row>
    <row r="48" spans="1:1" ht="12.75">
      <c r="A48" s="184"/>
    </row>
    <row r="49" spans="1:1" ht="12.75">
      <c r="A49" s="184"/>
    </row>
    <row r="50" spans="1:1" ht="12.75">
      <c r="A50" s="184"/>
    </row>
    <row r="51" spans="1:1" ht="12.75">
      <c r="A51" s="184"/>
    </row>
    <row r="52" spans="1:1" ht="12.75">
      <c r="A52" s="184"/>
    </row>
    <row r="53" spans="1:1" ht="12.75">
      <c r="A53" s="184"/>
    </row>
    <row r="54" spans="1:1" ht="12.75">
      <c r="A54" s="184"/>
    </row>
    <row r="55" spans="1:1" ht="12.75">
      <c r="A55" s="184"/>
    </row>
    <row r="56" spans="1:1" ht="12.75">
      <c r="A56" s="184"/>
    </row>
    <row r="57" spans="1:1" ht="12.75">
      <c r="A57" s="184"/>
    </row>
    <row r="58" spans="1:1" ht="12.75">
      <c r="A58" s="184"/>
    </row>
    <row r="59" spans="1:1" ht="12.75">
      <c r="A59" s="184"/>
    </row>
    <row r="60" spans="1:1" ht="12.75">
      <c r="A60" s="184"/>
    </row>
    <row r="61" spans="1:1" ht="12.75">
      <c r="A61" s="184"/>
    </row>
    <row r="62" spans="1:1" ht="12.75">
      <c r="A62" s="184"/>
    </row>
    <row r="63" spans="1:1" ht="12.75">
      <c r="A63" s="184"/>
    </row>
    <row r="64" spans="1:1" ht="12.75">
      <c r="A64" s="184"/>
    </row>
    <row r="65" spans="1:1" ht="12.75">
      <c r="A65" s="184"/>
    </row>
    <row r="66" spans="1:1" ht="12.75">
      <c r="A66" s="184"/>
    </row>
    <row r="67" spans="1:1" ht="12.75">
      <c r="A67" s="184"/>
    </row>
    <row r="68" spans="1:1" ht="12.75">
      <c r="A68" s="184"/>
    </row>
    <row r="69" spans="1:1" ht="12.75">
      <c r="A69" s="184"/>
    </row>
    <row r="70" spans="1:1" ht="12.75">
      <c r="A70" s="184"/>
    </row>
    <row r="71" spans="1:1" ht="12.75">
      <c r="A71" s="184"/>
    </row>
    <row r="72" spans="1:1" ht="12.75">
      <c r="A72" s="184"/>
    </row>
    <row r="73" spans="1:1" ht="12.75">
      <c r="A73" s="184"/>
    </row>
    <row r="74" spans="1:1" ht="12.75">
      <c r="A74" s="184"/>
    </row>
    <row r="75" spans="1:1" ht="12.75">
      <c r="A75" s="184"/>
    </row>
    <row r="76" spans="1:1" ht="12.75">
      <c r="A76" s="184"/>
    </row>
    <row r="77" spans="1:1" ht="12.75">
      <c r="A77" s="184"/>
    </row>
    <row r="78" spans="1:1" ht="12.75">
      <c r="A78" s="184"/>
    </row>
    <row r="79" spans="1:1" ht="12.75">
      <c r="A79" s="184"/>
    </row>
    <row r="80" spans="1:1" ht="12.75">
      <c r="A80" s="184"/>
    </row>
    <row r="81" spans="1:1" ht="12.75">
      <c r="A81" s="184"/>
    </row>
    <row r="82" spans="1:1" ht="12.75">
      <c r="A82" s="184"/>
    </row>
    <row r="83" spans="1:1" ht="12.75">
      <c r="A83" s="184"/>
    </row>
    <row r="84" spans="1:1" ht="12.75">
      <c r="A84" s="184"/>
    </row>
    <row r="85" spans="1:1" ht="12.75">
      <c r="A85" s="184"/>
    </row>
    <row r="86" spans="1:1" ht="12.75">
      <c r="A86" s="184"/>
    </row>
    <row r="87" spans="1:1" ht="12.75">
      <c r="A87" s="184"/>
    </row>
    <row r="88" spans="1:1" ht="12.75">
      <c r="A88" s="184"/>
    </row>
    <row r="89" spans="1:1" ht="12.75">
      <c r="A89" s="184"/>
    </row>
    <row r="90" spans="1:1" ht="12.75">
      <c r="A90" s="184"/>
    </row>
    <row r="91" spans="1:1" ht="12.75">
      <c r="A91" s="184"/>
    </row>
    <row r="92" spans="1:1" ht="12.75">
      <c r="A92" s="184"/>
    </row>
    <row r="93" spans="1:1" ht="12.75">
      <c r="A93" s="184"/>
    </row>
    <row r="94" spans="1:1" ht="12.75">
      <c r="A94" s="184"/>
    </row>
    <row r="95" spans="1:1" ht="12.75">
      <c r="A95" s="184"/>
    </row>
    <row r="96" spans="1:1" ht="12.75">
      <c r="A96" s="184"/>
    </row>
    <row r="97" spans="1:1" ht="12.75">
      <c r="A97" s="184"/>
    </row>
    <row r="98" spans="1:1" ht="12.75">
      <c r="A98" s="184"/>
    </row>
    <row r="99" spans="1:1" ht="12.75">
      <c r="A99" s="184"/>
    </row>
    <row r="100" spans="1:1" ht="12.75">
      <c r="A100" s="184"/>
    </row>
    <row r="101" spans="1:1" ht="12.75">
      <c r="A101" s="184"/>
    </row>
    <row r="102" spans="1:1" ht="12.75">
      <c r="A102" s="184"/>
    </row>
    <row r="103" spans="1:1" ht="12.75">
      <c r="A103" s="184"/>
    </row>
    <row r="104" spans="1:1" ht="12.75">
      <c r="A104" s="184"/>
    </row>
    <row r="105" spans="1:1" ht="12.75">
      <c r="A105" s="184"/>
    </row>
    <row r="106" spans="1:1" ht="12.75">
      <c r="A106" s="184"/>
    </row>
    <row r="107" spans="1:1" ht="12.75">
      <c r="A107" s="184"/>
    </row>
    <row r="108" spans="1:1" ht="12.75">
      <c r="A108" s="184"/>
    </row>
    <row r="109" spans="1:1" ht="12.75">
      <c r="A109" s="184"/>
    </row>
    <row r="110" spans="1:1" ht="12.75">
      <c r="A110" s="184"/>
    </row>
    <row r="111" spans="1:1" ht="12.75">
      <c r="A111" s="184"/>
    </row>
    <row r="112" spans="1:1" ht="12.75">
      <c r="A112" s="184"/>
    </row>
    <row r="113" spans="1:1" ht="12.75">
      <c r="A113" s="184"/>
    </row>
    <row r="114" spans="1:1" ht="12.75">
      <c r="A114" s="184"/>
    </row>
    <row r="115" spans="1:1" ht="12.75">
      <c r="A115" s="184"/>
    </row>
    <row r="116" spans="1:1" ht="12.75">
      <c r="A116" s="184"/>
    </row>
    <row r="117" spans="1:1" ht="12.75">
      <c r="A117" s="184"/>
    </row>
    <row r="118" spans="1:1" ht="12.75">
      <c r="A118" s="184"/>
    </row>
    <row r="119" spans="1:1" ht="12.75">
      <c r="A119" s="184"/>
    </row>
    <row r="120" spans="1:1" ht="12.75">
      <c r="A120" s="184"/>
    </row>
    <row r="121" spans="1:1" ht="12.75">
      <c r="A121" s="184"/>
    </row>
    <row r="122" spans="1:1" ht="12.75">
      <c r="A122" s="184"/>
    </row>
    <row r="123" spans="1:1" ht="12.75">
      <c r="A123" s="184"/>
    </row>
    <row r="124" spans="1:1" ht="12.75">
      <c r="A124" s="184"/>
    </row>
    <row r="125" spans="1:1" ht="12.75">
      <c r="A125" s="184"/>
    </row>
    <row r="126" spans="1:1" ht="12.75">
      <c r="A126" s="184"/>
    </row>
    <row r="127" spans="1:1" ht="12.75">
      <c r="A127" s="184"/>
    </row>
    <row r="128" spans="1:1" ht="12.75">
      <c r="A128" s="184"/>
    </row>
    <row r="129" spans="1:1" ht="12.75">
      <c r="A129" s="184"/>
    </row>
    <row r="130" spans="1:1" ht="12.75">
      <c r="A130" s="184"/>
    </row>
    <row r="131" spans="1:1" ht="12.75">
      <c r="A131" s="184"/>
    </row>
    <row r="132" spans="1:1" ht="12.75">
      <c r="A132" s="184"/>
    </row>
    <row r="133" spans="1:1" ht="12.75">
      <c r="A133" s="184"/>
    </row>
    <row r="134" spans="1:1" ht="12.75">
      <c r="A134" s="184"/>
    </row>
    <row r="135" spans="1:1" ht="12.75">
      <c r="A135" s="184"/>
    </row>
    <row r="136" spans="1:1" ht="12.75">
      <c r="A136" s="184"/>
    </row>
    <row r="137" spans="1:1" ht="12.75">
      <c r="A137" s="184"/>
    </row>
    <row r="138" spans="1:1" ht="12.75">
      <c r="A138" s="184"/>
    </row>
    <row r="139" spans="1:1" ht="12.75">
      <c r="A139" s="184"/>
    </row>
    <row r="140" spans="1:1" ht="12.75">
      <c r="A140" s="184"/>
    </row>
    <row r="141" spans="1:1" ht="12.75">
      <c r="A141" s="184"/>
    </row>
    <row r="142" spans="1:1" ht="12.75">
      <c r="A142" s="184"/>
    </row>
    <row r="143" spans="1:1" ht="12.75">
      <c r="A143" s="184"/>
    </row>
    <row r="144" spans="1:1" ht="12.75">
      <c r="A144" s="184"/>
    </row>
    <row r="145" spans="1:1" ht="12.75">
      <c r="A145" s="184"/>
    </row>
    <row r="146" spans="1:1" ht="12.75">
      <c r="A146" s="184"/>
    </row>
    <row r="147" spans="1:1" ht="12.75">
      <c r="A147" s="184"/>
    </row>
    <row r="148" spans="1:1" ht="12.75">
      <c r="A148" s="184"/>
    </row>
    <row r="149" spans="1:1" ht="12.75">
      <c r="A149" s="184"/>
    </row>
    <row r="150" spans="1:1" ht="12.75">
      <c r="A150" s="184"/>
    </row>
    <row r="151" spans="1:1" ht="12.75">
      <c r="A151" s="184"/>
    </row>
    <row r="152" spans="1:1" ht="12.75">
      <c r="A152" s="184"/>
    </row>
    <row r="153" spans="1:1" ht="12.75">
      <c r="A153" s="184"/>
    </row>
    <row r="154" spans="1:1" ht="12.75">
      <c r="A154" s="184"/>
    </row>
    <row r="155" spans="1:1" ht="12.75">
      <c r="A155" s="184"/>
    </row>
    <row r="156" spans="1:1" ht="12.75">
      <c r="A156" s="184"/>
    </row>
    <row r="157" spans="1:1" ht="12.75">
      <c r="A157" s="184"/>
    </row>
    <row r="158" spans="1:1" ht="12.75">
      <c r="A158" s="184"/>
    </row>
    <row r="159" spans="1:1" ht="12.75">
      <c r="A159" s="184"/>
    </row>
    <row r="160" spans="1:1" ht="12.75">
      <c r="A160" s="184"/>
    </row>
    <row r="161" spans="1:1" ht="12.75">
      <c r="A161" s="184"/>
    </row>
    <row r="162" spans="1:1" ht="12.75">
      <c r="A162" s="184"/>
    </row>
    <row r="163" spans="1:1" ht="12.75">
      <c r="A163" s="184"/>
    </row>
    <row r="164" spans="1:1" ht="12.75">
      <c r="A164" s="184"/>
    </row>
    <row r="165" spans="1:1" ht="12.75">
      <c r="A165" s="184"/>
    </row>
    <row r="166" spans="1:1" ht="12.75">
      <c r="A166" s="184"/>
    </row>
    <row r="167" spans="1:1" ht="12.75">
      <c r="A167" s="184"/>
    </row>
    <row r="168" spans="1:1" ht="12.75">
      <c r="A168" s="184"/>
    </row>
    <row r="169" spans="1:1" ht="12.75">
      <c r="A169" s="184"/>
    </row>
    <row r="170" spans="1:1" ht="12.75">
      <c r="A170" s="184"/>
    </row>
    <row r="171" spans="1:1" ht="12.75">
      <c r="A171" s="184"/>
    </row>
    <row r="172" spans="1:1" ht="12.75">
      <c r="A172" s="184"/>
    </row>
    <row r="173" spans="1:1" ht="12.75">
      <c r="A173" s="184"/>
    </row>
    <row r="174" spans="1:1" ht="12.75">
      <c r="A174" s="184"/>
    </row>
    <row r="175" spans="1:1" ht="12.75">
      <c r="A175" s="184"/>
    </row>
    <row r="176" spans="1:1" ht="12.75">
      <c r="A176" s="184"/>
    </row>
    <row r="177" spans="1:1" ht="12.75">
      <c r="A177" s="184"/>
    </row>
    <row r="178" spans="1:1" ht="12.75">
      <c r="A178" s="184"/>
    </row>
    <row r="179" spans="1:1" ht="12.75">
      <c r="A179" s="184"/>
    </row>
    <row r="180" spans="1:1" ht="12.75">
      <c r="A180" s="184"/>
    </row>
    <row r="181" spans="1:1" ht="12.75">
      <c r="A181" s="184"/>
    </row>
    <row r="182" spans="1:1" ht="12.75">
      <c r="A182" s="184"/>
    </row>
    <row r="183" spans="1:1" ht="12.75">
      <c r="A183" s="184"/>
    </row>
    <row r="184" spans="1:1" ht="12.75">
      <c r="A184" s="184"/>
    </row>
    <row r="185" spans="1:1" ht="12.75">
      <c r="A185" s="184"/>
    </row>
    <row r="186" spans="1:1" ht="12.75">
      <c r="A186" s="184"/>
    </row>
    <row r="187" spans="1:1" ht="12.75">
      <c r="A187" s="184"/>
    </row>
    <row r="188" spans="1:1" ht="12.75">
      <c r="A188" s="184"/>
    </row>
    <row r="189" spans="1:1" ht="12.75">
      <c r="A189" s="184"/>
    </row>
    <row r="190" spans="1:1" ht="12.75">
      <c r="A190" s="184"/>
    </row>
    <row r="191" spans="1:1" ht="12.75">
      <c r="A191" s="184"/>
    </row>
    <row r="192" spans="1:1" ht="12.75">
      <c r="A192" s="184"/>
    </row>
    <row r="193" spans="1:1" ht="12.75">
      <c r="A193" s="184"/>
    </row>
    <row r="194" spans="1:1" ht="12.75">
      <c r="A194" s="184"/>
    </row>
    <row r="195" spans="1:1" ht="12.75">
      <c r="A195" s="184"/>
    </row>
    <row r="196" spans="1:1" ht="12.75">
      <c r="A196" s="184"/>
    </row>
    <row r="197" spans="1:1" ht="12.75">
      <c r="A197" s="184"/>
    </row>
    <row r="198" spans="1:1" ht="12.75">
      <c r="A198" s="184"/>
    </row>
    <row r="199" spans="1:1" ht="12.75">
      <c r="A199" s="184"/>
    </row>
    <row r="200" spans="1:1" ht="12.75">
      <c r="A200" s="184"/>
    </row>
    <row r="201" spans="1:1" ht="12.75">
      <c r="A201" s="184"/>
    </row>
    <row r="202" spans="1:1" ht="12.75">
      <c r="A202" s="184"/>
    </row>
    <row r="203" spans="1:1" ht="12.75">
      <c r="A203" s="184"/>
    </row>
    <row r="204" spans="1:1" ht="12.75">
      <c r="A204" s="184"/>
    </row>
    <row r="205" spans="1:1" ht="12.75">
      <c r="A205" s="184"/>
    </row>
    <row r="206" spans="1:1" ht="12.75">
      <c r="A206" s="184"/>
    </row>
    <row r="207" spans="1:1" ht="12.75">
      <c r="A207" s="184"/>
    </row>
    <row r="208" spans="1:1" ht="12.75">
      <c r="A208" s="184"/>
    </row>
    <row r="209" spans="1:1" ht="12.75">
      <c r="A209" s="184"/>
    </row>
    <row r="210" spans="1:1" ht="12.75">
      <c r="A210" s="184"/>
    </row>
    <row r="211" spans="1:1" ht="12.75">
      <c r="A211" s="184"/>
    </row>
    <row r="212" spans="1:1" ht="12.75">
      <c r="A212" s="184"/>
    </row>
    <row r="213" spans="1:1" ht="12.75">
      <c r="A213" s="184"/>
    </row>
    <row r="214" spans="1:1" ht="12.75">
      <c r="A214" s="184"/>
    </row>
    <row r="215" spans="1:1" ht="12.75">
      <c r="A215" s="184"/>
    </row>
    <row r="216" spans="1:1" ht="12.75">
      <c r="A216" s="184"/>
    </row>
    <row r="217" spans="1:1" ht="12.75">
      <c r="A217" s="184"/>
    </row>
    <row r="218" spans="1:1" ht="12.75">
      <c r="A218" s="184"/>
    </row>
    <row r="219" spans="1:1" ht="12.75">
      <c r="A219" s="184"/>
    </row>
    <row r="220" spans="1:1" ht="12.75">
      <c r="A220" s="184"/>
    </row>
    <row r="221" spans="1:1" ht="12.75">
      <c r="A221" s="184"/>
    </row>
    <row r="222" spans="1:1" ht="12.75">
      <c r="A222" s="184"/>
    </row>
    <row r="223" spans="1:1" ht="12.75">
      <c r="A223" s="184"/>
    </row>
    <row r="224" spans="1:1" ht="12.75">
      <c r="A224" s="184"/>
    </row>
    <row r="225" spans="1:1" ht="12.75">
      <c r="A225" s="184"/>
    </row>
    <row r="226" spans="1:1" ht="12.75">
      <c r="A226" s="184"/>
    </row>
    <row r="227" spans="1:1" ht="12.75">
      <c r="A227" s="184"/>
    </row>
    <row r="228" spans="1:1" ht="12.75">
      <c r="A228" s="184"/>
    </row>
    <row r="229" spans="1:1" ht="12.75">
      <c r="A229" s="184"/>
    </row>
    <row r="230" spans="1:1" ht="12.75">
      <c r="A230" s="184"/>
    </row>
    <row r="231" spans="1:1" ht="12.75">
      <c r="A231" s="184"/>
    </row>
    <row r="232" spans="1:1" ht="12.75">
      <c r="A232" s="184"/>
    </row>
    <row r="233" spans="1:1" ht="12.75">
      <c r="A233" s="184"/>
    </row>
    <row r="234" spans="1:1" ht="12.75">
      <c r="A234" s="184"/>
    </row>
    <row r="235" spans="1:1" ht="12.75">
      <c r="A235" s="184"/>
    </row>
    <row r="236" spans="1:1" ht="12.75">
      <c r="A236" s="184"/>
    </row>
    <row r="237" spans="1:1" ht="12.75">
      <c r="A237" s="184"/>
    </row>
    <row r="238" spans="1:1" ht="12.75">
      <c r="A238" s="184"/>
    </row>
    <row r="239" spans="1:1" ht="12.75">
      <c r="A239" s="184"/>
    </row>
    <row r="240" spans="1:1" ht="12.75">
      <c r="A240" s="184"/>
    </row>
    <row r="241" spans="1:1" ht="12.75">
      <c r="A241" s="184"/>
    </row>
    <row r="242" spans="1:1" ht="12.75">
      <c r="A242" s="184"/>
    </row>
    <row r="243" spans="1:1" ht="12.75">
      <c r="A243" s="184"/>
    </row>
    <row r="244" spans="1:1" ht="12.75">
      <c r="A244" s="184"/>
    </row>
    <row r="245" spans="1:1" ht="12.75">
      <c r="A245" s="184"/>
    </row>
    <row r="246" spans="1:1" ht="12.75">
      <c r="A246" s="184"/>
    </row>
    <row r="247" spans="1:1" ht="12.75">
      <c r="A247" s="184"/>
    </row>
    <row r="248" spans="1:1" ht="12.75">
      <c r="A248" s="184"/>
    </row>
    <row r="249" spans="1:1" ht="12.75">
      <c r="A249" s="184"/>
    </row>
    <row r="250" spans="1:1" ht="12.75">
      <c r="A250" s="184"/>
    </row>
    <row r="251" spans="1:1" ht="12.75">
      <c r="A251" s="184"/>
    </row>
    <row r="252" spans="1:1" ht="12.75">
      <c r="A252" s="184"/>
    </row>
    <row r="253" spans="1:1" ht="12.75">
      <c r="A253" s="184"/>
    </row>
    <row r="254" spans="1:1" ht="12.75">
      <c r="A254" s="184"/>
    </row>
    <row r="255" spans="1:1" ht="12.75">
      <c r="A255" s="184"/>
    </row>
    <row r="256" spans="1:1" ht="12.75">
      <c r="A256" s="184"/>
    </row>
    <row r="257" spans="1:1" ht="12.75">
      <c r="A257" s="184"/>
    </row>
    <row r="258" spans="1:1" ht="12.75">
      <c r="A258" s="184"/>
    </row>
    <row r="259" spans="1:1" ht="12.75">
      <c r="A259" s="184"/>
    </row>
    <row r="260" spans="1:1" ht="12.75">
      <c r="A260" s="184"/>
    </row>
    <row r="261" spans="1:1" ht="12.75">
      <c r="A261" s="184"/>
    </row>
    <row r="262" spans="1:1" ht="12.75">
      <c r="A262" s="184"/>
    </row>
    <row r="263" spans="1:1" ht="12.75">
      <c r="A263" s="184"/>
    </row>
    <row r="264" spans="1:1" ht="12.75">
      <c r="A264" s="184"/>
    </row>
    <row r="265" spans="1:1" ht="12.75">
      <c r="A265" s="184"/>
    </row>
    <row r="266" spans="1:1" ht="12.75">
      <c r="A266" s="184"/>
    </row>
    <row r="267" spans="1:1" ht="12.75">
      <c r="A267" s="184"/>
    </row>
    <row r="268" spans="1:1" ht="12.75">
      <c r="A268" s="184"/>
    </row>
    <row r="269" spans="1:1" ht="12.75">
      <c r="A269" s="184"/>
    </row>
    <row r="270" spans="1:1" ht="12.75">
      <c r="A270" s="184"/>
    </row>
    <row r="271" spans="1:1" ht="12.75">
      <c r="A271" s="184"/>
    </row>
    <row r="272" spans="1:1" ht="12.75">
      <c r="A272" s="184"/>
    </row>
    <row r="273" spans="1:1" ht="12.75">
      <c r="A273" s="184"/>
    </row>
    <row r="274" spans="1:1" ht="12.75">
      <c r="A274" s="184"/>
    </row>
    <row r="275" spans="1:1" ht="12.75">
      <c r="A275" s="184"/>
    </row>
    <row r="276" spans="1:1" ht="12.75">
      <c r="A276" s="184"/>
    </row>
    <row r="277" spans="1:1" ht="12.75">
      <c r="A277" s="184"/>
    </row>
    <row r="278" spans="1:1" ht="12.75">
      <c r="A278" s="184"/>
    </row>
    <row r="279" spans="1:1" ht="12.75">
      <c r="A279" s="184"/>
    </row>
    <row r="280" spans="1:1" ht="12.75">
      <c r="A280" s="184"/>
    </row>
    <row r="281" spans="1:1" ht="12.75">
      <c r="A281" s="184"/>
    </row>
    <row r="282" spans="1:1" ht="12.75">
      <c r="A282" s="184"/>
    </row>
    <row r="283" spans="1:1" ht="12.75">
      <c r="A283" s="184"/>
    </row>
    <row r="284" spans="1:1" ht="12.75">
      <c r="A284" s="184"/>
    </row>
    <row r="285" spans="1:1" ht="12.75">
      <c r="A285" s="184"/>
    </row>
    <row r="286" spans="1:1" ht="12.75">
      <c r="A286" s="184"/>
    </row>
    <row r="287" spans="1:1" ht="12.75">
      <c r="A287" s="184"/>
    </row>
    <row r="288" spans="1:1" ht="12.75">
      <c r="A288" s="184"/>
    </row>
    <row r="289" spans="1:1" ht="12.75">
      <c r="A289" s="184"/>
    </row>
    <row r="290" spans="1:1" ht="12.75">
      <c r="A290" s="184"/>
    </row>
    <row r="291" spans="1:1" ht="12.75">
      <c r="A291" s="184"/>
    </row>
    <row r="292" spans="1:1" ht="12.75">
      <c r="A292" s="184"/>
    </row>
    <row r="293" spans="1:1" ht="12.75">
      <c r="A293" s="184"/>
    </row>
    <row r="294" spans="1:1" ht="12.75">
      <c r="A294" s="184"/>
    </row>
    <row r="295" spans="1:1" ht="12.75">
      <c r="A295" s="184"/>
    </row>
    <row r="296" spans="1:1" ht="12.75">
      <c r="A296" s="184"/>
    </row>
    <row r="297" spans="1:1" ht="12.75">
      <c r="A297" s="184"/>
    </row>
    <row r="298" spans="1:1" ht="12.75">
      <c r="A298" s="184"/>
    </row>
    <row r="299" spans="1:1" ht="12.75">
      <c r="A299" s="184"/>
    </row>
    <row r="300" spans="1:1" ht="12.75">
      <c r="A300" s="184"/>
    </row>
    <row r="301" spans="1:1" ht="12.75">
      <c r="A301" s="184"/>
    </row>
    <row r="302" spans="1:1" ht="12.75">
      <c r="A302" s="184"/>
    </row>
    <row r="303" spans="1:1" ht="12.75">
      <c r="A303" s="184"/>
    </row>
    <row r="304" spans="1:1" ht="12.75">
      <c r="A304" s="184"/>
    </row>
    <row r="305" spans="1:1" ht="12.75">
      <c r="A305" s="184"/>
    </row>
    <row r="306" spans="1:1" ht="12.75">
      <c r="A306" s="184"/>
    </row>
    <row r="307" spans="1:1" ht="12.75">
      <c r="A307" s="184"/>
    </row>
    <row r="308" spans="1:1" ht="12.75">
      <c r="A308" s="184"/>
    </row>
    <row r="309" spans="1:1" ht="12.75">
      <c r="A309" s="184"/>
    </row>
    <row r="310" spans="1:1" ht="12.75">
      <c r="A310" s="184"/>
    </row>
    <row r="311" spans="1:1" ht="12.75">
      <c r="A311" s="184"/>
    </row>
    <row r="312" spans="1:1" ht="12.75">
      <c r="A312" s="184"/>
    </row>
    <row r="313" spans="1:1" ht="12.75">
      <c r="A313" s="184"/>
    </row>
    <row r="314" spans="1:1" ht="12.75">
      <c r="A314" s="184"/>
    </row>
    <row r="315" spans="1:1" ht="12.75">
      <c r="A315" s="184"/>
    </row>
    <row r="316" spans="1:1" ht="12.75">
      <c r="A316" s="184"/>
    </row>
    <row r="317" spans="1:1" ht="12.75">
      <c r="A317" s="184"/>
    </row>
    <row r="318" spans="1:1" ht="12.75">
      <c r="A318" s="184"/>
    </row>
    <row r="319" spans="1:1" ht="12.75">
      <c r="A319" s="184"/>
    </row>
    <row r="320" spans="1:1" ht="12.75">
      <c r="A320" s="184"/>
    </row>
    <row r="321" spans="1:1" ht="12.75">
      <c r="A321" s="184"/>
    </row>
    <row r="322" spans="1:1" ht="12.75">
      <c r="A322" s="184"/>
    </row>
    <row r="323" spans="1:1" ht="12.75">
      <c r="A323" s="184"/>
    </row>
    <row r="324" spans="1:1" ht="12.75">
      <c r="A324" s="184"/>
    </row>
    <row r="325" spans="1:1" ht="12.75">
      <c r="A325" s="184"/>
    </row>
    <row r="326" spans="1:1" ht="12.75">
      <c r="A326" s="184"/>
    </row>
    <row r="327" spans="1:1" ht="12.75">
      <c r="A327" s="184"/>
    </row>
    <row r="328" spans="1:1" ht="12.75">
      <c r="A328" s="184"/>
    </row>
    <row r="329" spans="1:1" ht="12.75">
      <c r="A329" s="184"/>
    </row>
    <row r="330" spans="1:1" ht="12.75">
      <c r="A330" s="184"/>
    </row>
    <row r="331" spans="1:1" ht="12.75">
      <c r="A331" s="184"/>
    </row>
    <row r="332" spans="1:1" ht="12.75">
      <c r="A332" s="184"/>
    </row>
    <row r="333" spans="1:1" ht="12.75">
      <c r="A333" s="184"/>
    </row>
    <row r="334" spans="1:1" ht="12.75">
      <c r="A334" s="184"/>
    </row>
    <row r="335" spans="1:1" ht="12.75">
      <c r="A335" s="184"/>
    </row>
    <row r="336" spans="1:1" ht="12.75">
      <c r="A336" s="184"/>
    </row>
    <row r="337" spans="1:1" ht="12.75">
      <c r="A337" s="184"/>
    </row>
    <row r="338" spans="1:1" ht="12.75">
      <c r="A338" s="184"/>
    </row>
    <row r="339" spans="1:1" ht="12.75">
      <c r="A339" s="184"/>
    </row>
    <row r="340" spans="1:1" ht="12.75">
      <c r="A340" s="184"/>
    </row>
    <row r="341" spans="1:1" ht="12.75">
      <c r="A341" s="184"/>
    </row>
    <row r="342" spans="1:1" ht="12.75">
      <c r="A342" s="184"/>
    </row>
    <row r="343" spans="1:1" ht="12.75">
      <c r="A343" s="184"/>
    </row>
    <row r="344" spans="1:1" ht="12.75">
      <c r="A344" s="184"/>
    </row>
    <row r="345" spans="1:1" ht="12.75">
      <c r="A345" s="184"/>
    </row>
    <row r="346" spans="1:1" ht="12.75">
      <c r="A346" s="184"/>
    </row>
    <row r="347" spans="1:1" ht="12.75">
      <c r="A347" s="184"/>
    </row>
    <row r="348" spans="1:1" ht="12.75">
      <c r="A348" s="184"/>
    </row>
    <row r="349" spans="1:1" ht="12.75">
      <c r="A349" s="184"/>
    </row>
    <row r="350" spans="1:1" ht="12.75">
      <c r="A350" s="184"/>
    </row>
    <row r="351" spans="1:1" ht="12.75">
      <c r="A351" s="184"/>
    </row>
    <row r="352" spans="1:1" ht="12.75">
      <c r="A352" s="184"/>
    </row>
    <row r="353" spans="1:1" ht="12.75">
      <c r="A353" s="184"/>
    </row>
    <row r="354" spans="1:1" ht="12.75">
      <c r="A354" s="184"/>
    </row>
    <row r="355" spans="1:1" ht="12.75">
      <c r="A355" s="184"/>
    </row>
    <row r="356" spans="1:1" ht="12.75">
      <c r="A356" s="184"/>
    </row>
    <row r="357" spans="1:1" ht="12.75">
      <c r="A357" s="184"/>
    </row>
    <row r="358" spans="1:1" ht="12.75">
      <c r="A358" s="184"/>
    </row>
    <row r="359" spans="1:1" ht="12.75">
      <c r="A359" s="184"/>
    </row>
    <row r="360" spans="1:1" ht="12.75">
      <c r="A360" s="184"/>
    </row>
    <row r="361" spans="1:1" ht="12.75">
      <c r="A361" s="184"/>
    </row>
    <row r="362" spans="1:1" ht="12.75">
      <c r="A362" s="184"/>
    </row>
    <row r="363" spans="1:1" ht="12.75">
      <c r="A363" s="184"/>
    </row>
    <row r="364" spans="1:1" ht="12.75">
      <c r="A364" s="184"/>
    </row>
    <row r="365" spans="1:1" ht="12.75">
      <c r="A365" s="184"/>
    </row>
    <row r="366" spans="1:1" ht="12.75">
      <c r="A366" s="184"/>
    </row>
    <row r="367" spans="1:1" ht="12.75">
      <c r="A367" s="184"/>
    </row>
    <row r="368" spans="1:1" ht="12.75">
      <c r="A368" s="184"/>
    </row>
    <row r="369" spans="1:1" ht="12.75">
      <c r="A369" s="184"/>
    </row>
    <row r="370" spans="1:1" ht="12.75">
      <c r="A370" s="184"/>
    </row>
    <row r="371" spans="1:1" ht="12.75">
      <c r="A371" s="184"/>
    </row>
    <row r="372" spans="1:1" ht="12.75">
      <c r="A372" s="184"/>
    </row>
    <row r="373" spans="1:1" ht="12.75">
      <c r="A373" s="184"/>
    </row>
    <row r="374" spans="1:1" ht="12.75">
      <c r="A374" s="184"/>
    </row>
    <row r="375" spans="1:1" ht="12.75">
      <c r="A375" s="184"/>
    </row>
    <row r="376" spans="1:1" ht="12.75">
      <c r="A376" s="184"/>
    </row>
    <row r="377" spans="1:1" ht="12.75">
      <c r="A377" s="184"/>
    </row>
    <row r="378" spans="1:1" ht="12.75">
      <c r="A378" s="184"/>
    </row>
    <row r="379" spans="1:1" ht="12.75">
      <c r="A379" s="184"/>
    </row>
    <row r="380" spans="1:1" ht="12.75">
      <c r="A380" s="184"/>
    </row>
    <row r="381" spans="1:1" ht="12.75">
      <c r="A381" s="184"/>
    </row>
    <row r="382" spans="1:1" ht="12.75">
      <c r="A382" s="184"/>
    </row>
    <row r="383" spans="1:1" ht="12.75">
      <c r="A383" s="184"/>
    </row>
    <row r="384" spans="1:1" ht="12.75">
      <c r="A384" s="184"/>
    </row>
    <row r="385" spans="1:1" ht="12.75">
      <c r="A385" s="184"/>
    </row>
    <row r="386" spans="1:1" ht="12.75">
      <c r="A386" s="184"/>
    </row>
    <row r="387" spans="1:1" ht="12.75">
      <c r="A387" s="184"/>
    </row>
    <row r="388" spans="1:1" ht="12.75">
      <c r="A388" s="184"/>
    </row>
    <row r="389" spans="1:1" ht="12.75">
      <c r="A389" s="184"/>
    </row>
    <row r="390" spans="1:1" ht="12.75">
      <c r="A390" s="184"/>
    </row>
    <row r="391" spans="1:1" ht="12.75">
      <c r="A391" s="184"/>
    </row>
    <row r="392" spans="1:1" ht="12.75">
      <c r="A392" s="184"/>
    </row>
    <row r="393" spans="1:1" ht="12.75">
      <c r="A393" s="184"/>
    </row>
    <row r="394" spans="1:1" ht="12.75">
      <c r="A394" s="184"/>
    </row>
    <row r="395" spans="1:1" ht="12.75">
      <c r="A395" s="184"/>
    </row>
    <row r="396" spans="1:1" ht="12.75">
      <c r="A396" s="184"/>
    </row>
    <row r="397" spans="1:1" ht="12.75">
      <c r="A397" s="184"/>
    </row>
    <row r="398" spans="1:1" ht="12.75">
      <c r="A398" s="184"/>
    </row>
    <row r="399" spans="1:1" ht="12.75">
      <c r="A399" s="184"/>
    </row>
    <row r="400" spans="1:1" ht="12.75">
      <c r="A400" s="184"/>
    </row>
    <row r="401" spans="1:1" ht="12.75">
      <c r="A401" s="184"/>
    </row>
    <row r="402" spans="1:1" ht="12.75">
      <c r="A402" s="184"/>
    </row>
    <row r="403" spans="1:1" ht="12.75">
      <c r="A403" s="184"/>
    </row>
    <row r="404" spans="1:1" ht="12.75">
      <c r="A404" s="184"/>
    </row>
    <row r="405" spans="1:1" ht="12.75">
      <c r="A405" s="184"/>
    </row>
    <row r="406" spans="1:1" ht="12.75">
      <c r="A406" s="184"/>
    </row>
    <row r="407" spans="1:1" ht="12.75">
      <c r="A407" s="184"/>
    </row>
    <row r="408" spans="1:1" ht="12.75">
      <c r="A408" s="184"/>
    </row>
    <row r="409" spans="1:1" ht="12.75">
      <c r="A409" s="184"/>
    </row>
    <row r="410" spans="1:1" ht="12.75">
      <c r="A410" s="184"/>
    </row>
    <row r="411" spans="1:1" ht="12.75">
      <c r="A411" s="184"/>
    </row>
    <row r="412" spans="1:1" ht="12.75">
      <c r="A412" s="184"/>
    </row>
    <row r="413" spans="1:1" ht="12.75">
      <c r="A413" s="184"/>
    </row>
    <row r="414" spans="1:1" ht="12.75">
      <c r="A414" s="184"/>
    </row>
    <row r="415" spans="1:1" ht="12.75">
      <c r="A415" s="184"/>
    </row>
    <row r="416" spans="1:1" ht="12.75">
      <c r="A416" s="184"/>
    </row>
    <row r="417" spans="1:1" ht="12.75">
      <c r="A417" s="184"/>
    </row>
    <row r="418" spans="1:1" ht="12.75">
      <c r="A418" s="184"/>
    </row>
    <row r="419" spans="1:1" ht="12.75">
      <c r="A419" s="184"/>
    </row>
    <row r="420" spans="1:1" ht="12.75">
      <c r="A420" s="184"/>
    </row>
    <row r="421" spans="1:1" ht="12.75">
      <c r="A421" s="184"/>
    </row>
    <row r="422" spans="1:1" ht="12.75">
      <c r="A422" s="184"/>
    </row>
    <row r="423" spans="1:1" ht="12.75">
      <c r="A423" s="184"/>
    </row>
    <row r="424" spans="1:1" ht="12.75">
      <c r="A424" s="184"/>
    </row>
    <row r="425" spans="1:1" ht="12.75">
      <c r="A425" s="184"/>
    </row>
    <row r="426" spans="1:1" ht="12.75">
      <c r="A426" s="184"/>
    </row>
    <row r="427" spans="1:1" ht="12.75">
      <c r="A427" s="184"/>
    </row>
    <row r="428" spans="1:1" ht="12.75">
      <c r="A428" s="184"/>
    </row>
    <row r="429" spans="1:1" ht="12.75">
      <c r="A429" s="184"/>
    </row>
    <row r="430" spans="1:1" ht="12.75">
      <c r="A430" s="184"/>
    </row>
    <row r="431" spans="1:1" ht="12.75">
      <c r="A431" s="184"/>
    </row>
    <row r="432" spans="1:1" ht="12.75">
      <c r="A432" s="184"/>
    </row>
    <row r="433" spans="1:1" ht="12.75">
      <c r="A433" s="184"/>
    </row>
    <row r="434" spans="1:1" ht="12.75">
      <c r="A434" s="184"/>
    </row>
    <row r="435" spans="1:1" ht="12.75">
      <c r="A435" s="184"/>
    </row>
    <row r="436" spans="1:1" ht="12.75">
      <c r="A436" s="184"/>
    </row>
    <row r="437" spans="1:1" ht="12.75">
      <c r="A437" s="184"/>
    </row>
    <row r="438" spans="1:1" ht="12.75">
      <c r="A438" s="184"/>
    </row>
    <row r="439" spans="1:1" ht="12.75">
      <c r="A439" s="184"/>
    </row>
    <row r="440" spans="1:1" ht="12.75">
      <c r="A440" s="184"/>
    </row>
    <row r="441" spans="1:1" ht="12.75">
      <c r="A441" s="184"/>
    </row>
    <row r="442" spans="1:1" ht="12.75">
      <c r="A442" s="184"/>
    </row>
    <row r="443" spans="1:1" ht="12.75">
      <c r="A443" s="184"/>
    </row>
    <row r="444" spans="1:1" ht="12.75">
      <c r="A444" s="184"/>
    </row>
    <row r="445" spans="1:1" ht="12.75">
      <c r="A445" s="184"/>
    </row>
    <row r="446" spans="1:1" ht="12.75">
      <c r="A446" s="184"/>
    </row>
    <row r="447" spans="1:1" ht="12.75">
      <c r="A447" s="184"/>
    </row>
    <row r="448" spans="1:1" ht="12.75">
      <c r="A448" s="184"/>
    </row>
    <row r="449" spans="1:1" ht="12.75">
      <c r="A449" s="184"/>
    </row>
    <row r="450" spans="1:1" ht="12.75">
      <c r="A450" s="184"/>
    </row>
    <row r="451" spans="1:1" ht="12.75">
      <c r="A451" s="184"/>
    </row>
    <row r="452" spans="1:1" ht="12.75">
      <c r="A452" s="184"/>
    </row>
    <row r="453" spans="1:1" ht="12.75">
      <c r="A453" s="184"/>
    </row>
    <row r="454" spans="1:1" ht="12.75">
      <c r="A454" s="184"/>
    </row>
    <row r="455" spans="1:1" ht="12.75">
      <c r="A455" s="184"/>
    </row>
    <row r="456" spans="1:1" ht="12.75">
      <c r="A456" s="184"/>
    </row>
    <row r="457" spans="1:1" ht="12.75">
      <c r="A457" s="184"/>
    </row>
    <row r="458" spans="1:1" ht="12.75">
      <c r="A458" s="184"/>
    </row>
    <row r="459" spans="1:1" ht="12.75">
      <c r="A459" s="184"/>
    </row>
    <row r="460" spans="1:1" ht="12.75">
      <c r="A460" s="184"/>
    </row>
    <row r="461" spans="1:1" ht="12.75">
      <c r="A461" s="184"/>
    </row>
    <row r="462" spans="1:1" ht="12.75">
      <c r="A462" s="184"/>
    </row>
    <row r="463" spans="1:1" ht="12.75">
      <c r="A463" s="184"/>
    </row>
    <row r="464" spans="1:1" ht="12.75">
      <c r="A464" s="184"/>
    </row>
    <row r="465" spans="1:1" ht="12.75">
      <c r="A465" s="184"/>
    </row>
    <row r="466" spans="1:1" ht="12.75">
      <c r="A466" s="184"/>
    </row>
    <row r="467" spans="1:1" ht="12.75">
      <c r="A467" s="184"/>
    </row>
    <row r="468" spans="1:1" ht="12.75">
      <c r="A468" s="184"/>
    </row>
    <row r="469" spans="1:1" ht="12.75">
      <c r="A469" s="184"/>
    </row>
    <row r="470" spans="1:1" ht="12.75">
      <c r="A470" s="184"/>
    </row>
    <row r="471" spans="1:1" ht="12.75">
      <c r="A471" s="184"/>
    </row>
    <row r="472" spans="1:1" ht="12.75">
      <c r="A472" s="184"/>
    </row>
    <row r="473" spans="1:1" ht="12.75">
      <c r="A473" s="184"/>
    </row>
    <row r="474" spans="1:1" ht="12.75">
      <c r="A474" s="184"/>
    </row>
    <row r="475" spans="1:1" ht="12.75">
      <c r="A475" s="184"/>
    </row>
    <row r="476" spans="1:1" ht="12.75">
      <c r="A476" s="184"/>
    </row>
    <row r="477" spans="1:1" ht="12.75">
      <c r="A477" s="184"/>
    </row>
    <row r="478" spans="1:1" ht="12.75">
      <c r="A478" s="184"/>
    </row>
    <row r="479" spans="1:1" ht="12.75">
      <c r="A479" s="184"/>
    </row>
    <row r="480" spans="1:1" ht="12.75">
      <c r="A480" s="184"/>
    </row>
    <row r="481" spans="1:1" ht="12.75">
      <c r="A481" s="184"/>
    </row>
    <row r="482" spans="1:1" ht="12.75">
      <c r="A482" s="184"/>
    </row>
    <row r="483" spans="1:1" ht="12.75">
      <c r="A483" s="184"/>
    </row>
    <row r="484" spans="1:1" ht="12.75">
      <c r="A484" s="184"/>
    </row>
    <row r="485" spans="1:1" ht="12.75">
      <c r="A485" s="184"/>
    </row>
    <row r="486" spans="1:1" ht="12.75">
      <c r="A486" s="184"/>
    </row>
    <row r="487" spans="1:1" ht="12.75">
      <c r="A487" s="184"/>
    </row>
    <row r="488" spans="1:1" ht="12.75">
      <c r="A488" s="184"/>
    </row>
    <row r="489" spans="1:1" ht="12.75">
      <c r="A489" s="184"/>
    </row>
    <row r="490" spans="1:1" ht="12.75">
      <c r="A490" s="184"/>
    </row>
    <row r="491" spans="1:1" ht="12.75">
      <c r="A491" s="184"/>
    </row>
    <row r="492" spans="1:1" ht="12.75">
      <c r="A492" s="184"/>
    </row>
    <row r="493" spans="1:1" ht="12.75">
      <c r="A493" s="184"/>
    </row>
    <row r="494" spans="1:1" ht="12.75">
      <c r="A494" s="184"/>
    </row>
    <row r="495" spans="1:1" ht="12.75">
      <c r="A495" s="184"/>
    </row>
    <row r="496" spans="1:1" ht="12.75">
      <c r="A496" s="184"/>
    </row>
    <row r="497" spans="1:1" ht="12.75">
      <c r="A497" s="184"/>
    </row>
    <row r="498" spans="1:1" ht="12.75">
      <c r="A498" s="184"/>
    </row>
    <row r="499" spans="1:1" ht="12.75">
      <c r="A499" s="184"/>
    </row>
    <row r="500" spans="1:1" ht="12.75">
      <c r="A500" s="184"/>
    </row>
    <row r="501" spans="1:1" ht="12.75">
      <c r="A501" s="184"/>
    </row>
    <row r="502" spans="1:1" ht="12.75">
      <c r="A502" s="184"/>
    </row>
    <row r="503" spans="1:1" ht="12.75">
      <c r="A503" s="184"/>
    </row>
    <row r="504" spans="1:1" ht="12.75">
      <c r="A504" s="184"/>
    </row>
    <row r="505" spans="1:1" ht="12.75">
      <c r="A505" s="184"/>
    </row>
    <row r="506" spans="1:1" ht="12.75">
      <c r="A506" s="184"/>
    </row>
    <row r="507" spans="1:1" ht="12.75">
      <c r="A507" s="184"/>
    </row>
    <row r="508" spans="1:1" ht="12.75">
      <c r="A508" s="184"/>
    </row>
    <row r="509" spans="1:1" ht="12.75">
      <c r="A509" s="184"/>
    </row>
    <row r="510" spans="1:1" ht="12.75">
      <c r="A510" s="184"/>
    </row>
    <row r="511" spans="1:1" ht="12.75">
      <c r="A511" s="184"/>
    </row>
    <row r="512" spans="1:1" ht="12.75">
      <c r="A512" s="184"/>
    </row>
    <row r="513" spans="1:1" ht="12.75">
      <c r="A513" s="184"/>
    </row>
    <row r="514" spans="1:1" ht="12.75">
      <c r="A514" s="184"/>
    </row>
    <row r="515" spans="1:1" ht="12.75">
      <c r="A515" s="184"/>
    </row>
    <row r="516" spans="1:1" ht="12.75">
      <c r="A516" s="184"/>
    </row>
    <row r="517" spans="1:1" ht="12.75">
      <c r="A517" s="184"/>
    </row>
    <row r="518" spans="1:1" ht="12.75">
      <c r="A518" s="184"/>
    </row>
    <row r="519" spans="1:1" ht="12.75">
      <c r="A519" s="184"/>
    </row>
    <row r="520" spans="1:1" ht="12.75">
      <c r="A520" s="184"/>
    </row>
    <row r="521" spans="1:1" ht="12.75">
      <c r="A521" s="184"/>
    </row>
    <row r="522" spans="1:1" ht="12.75">
      <c r="A522" s="184"/>
    </row>
    <row r="523" spans="1:1" ht="12.75">
      <c r="A523" s="184"/>
    </row>
    <row r="524" spans="1:1" ht="12.75">
      <c r="A524" s="184"/>
    </row>
    <row r="525" spans="1:1" ht="12.75">
      <c r="A525" s="184"/>
    </row>
    <row r="526" spans="1:1" ht="12.75">
      <c r="A526" s="184"/>
    </row>
    <row r="527" spans="1:1" ht="12.75">
      <c r="A527" s="184"/>
    </row>
    <row r="528" spans="1:1" ht="12.75">
      <c r="A528" s="184"/>
    </row>
    <row r="529" spans="1:1" ht="12.75">
      <c r="A529" s="184"/>
    </row>
    <row r="530" spans="1:1" ht="12.75">
      <c r="A530" s="184"/>
    </row>
    <row r="531" spans="1:1" ht="12.75">
      <c r="A531" s="184"/>
    </row>
    <row r="532" spans="1:1" ht="12.75">
      <c r="A532" s="184"/>
    </row>
    <row r="533" spans="1:1" ht="12.75">
      <c r="A533" s="184"/>
    </row>
    <row r="534" spans="1:1" ht="12.75">
      <c r="A534" s="184"/>
    </row>
    <row r="535" spans="1:1" ht="12.75">
      <c r="A535" s="184"/>
    </row>
    <row r="536" spans="1:1" ht="12.75">
      <c r="A536" s="184"/>
    </row>
    <row r="537" spans="1:1" ht="12.75">
      <c r="A537" s="184"/>
    </row>
    <row r="538" spans="1:1" ht="12.75">
      <c r="A538" s="184"/>
    </row>
    <row r="539" spans="1:1" ht="12.75">
      <c r="A539" s="184"/>
    </row>
    <row r="540" spans="1:1" ht="12.75">
      <c r="A540" s="184"/>
    </row>
    <row r="541" spans="1:1" ht="12.75">
      <c r="A541" s="184"/>
    </row>
    <row r="542" spans="1:1" ht="12.75">
      <c r="A542" s="184"/>
    </row>
    <row r="543" spans="1:1" ht="12.75">
      <c r="A543" s="184"/>
    </row>
    <row r="544" spans="1:1" ht="12.75">
      <c r="A544" s="184"/>
    </row>
    <row r="545" spans="1:1" ht="12.75">
      <c r="A545" s="184"/>
    </row>
    <row r="546" spans="1:1" ht="12.75">
      <c r="A546" s="184"/>
    </row>
    <row r="547" spans="1:1" ht="12.75">
      <c r="A547" s="184"/>
    </row>
    <row r="548" spans="1:1" ht="12.75">
      <c r="A548" s="184"/>
    </row>
    <row r="549" spans="1:1" ht="12.75">
      <c r="A549" s="184"/>
    </row>
    <row r="550" spans="1:1" ht="12.75">
      <c r="A550" s="184"/>
    </row>
    <row r="551" spans="1:1" ht="12.75">
      <c r="A551" s="184"/>
    </row>
    <row r="552" spans="1:1" ht="12.75">
      <c r="A552" s="184"/>
    </row>
    <row r="553" spans="1:1" ht="12.75">
      <c r="A553" s="184"/>
    </row>
    <row r="554" spans="1:1" ht="12.75">
      <c r="A554" s="184"/>
    </row>
    <row r="555" spans="1:1" ht="12.75">
      <c r="A555" s="184"/>
    </row>
    <row r="556" spans="1:1" ht="12.75">
      <c r="A556" s="184"/>
    </row>
    <row r="557" spans="1:1" ht="12.75">
      <c r="A557" s="184"/>
    </row>
    <row r="558" spans="1:1" ht="12.75">
      <c r="A558" s="184"/>
    </row>
    <row r="559" spans="1:1" ht="12.75">
      <c r="A559" s="184"/>
    </row>
    <row r="560" spans="1:1" ht="12.75">
      <c r="A560" s="184"/>
    </row>
    <row r="561" spans="1:1" ht="12.75">
      <c r="A561" s="184"/>
    </row>
    <row r="562" spans="1:1" ht="12.75">
      <c r="A562" s="184"/>
    </row>
    <row r="563" spans="1:1" ht="12.75">
      <c r="A563" s="184"/>
    </row>
    <row r="564" spans="1:1" ht="12.75">
      <c r="A564" s="184"/>
    </row>
    <row r="565" spans="1:1" ht="12.75">
      <c r="A565" s="184"/>
    </row>
    <row r="566" spans="1:1" ht="12.75">
      <c r="A566" s="184"/>
    </row>
    <row r="567" spans="1:1" ht="12.75">
      <c r="A567" s="184"/>
    </row>
    <row r="568" spans="1:1" ht="12.75">
      <c r="A568" s="184"/>
    </row>
    <row r="569" spans="1:1" ht="12.75">
      <c r="A569" s="184"/>
    </row>
    <row r="570" spans="1:1" ht="12.75">
      <c r="A570" s="184"/>
    </row>
    <row r="571" spans="1:1" ht="12.75">
      <c r="A571" s="184"/>
    </row>
    <row r="572" spans="1:1" ht="12.75">
      <c r="A572" s="184"/>
    </row>
    <row r="573" spans="1:1" ht="12.75">
      <c r="A573" s="184"/>
    </row>
    <row r="574" spans="1:1" ht="12.75">
      <c r="A574" s="184"/>
    </row>
    <row r="575" spans="1:1" ht="12.75">
      <c r="A575" s="184"/>
    </row>
    <row r="576" spans="1:1" ht="12.75">
      <c r="A576" s="184"/>
    </row>
    <row r="577" spans="1:1" ht="12.75">
      <c r="A577" s="184"/>
    </row>
    <row r="578" spans="1:1" ht="12.75">
      <c r="A578" s="184"/>
    </row>
    <row r="579" spans="1:1" ht="12.75">
      <c r="A579" s="184"/>
    </row>
    <row r="580" spans="1:1" ht="12.75">
      <c r="A580" s="184"/>
    </row>
    <row r="581" spans="1:1" ht="12.75">
      <c r="A581" s="184"/>
    </row>
    <row r="582" spans="1:1" ht="12.75">
      <c r="A582" s="184"/>
    </row>
    <row r="583" spans="1:1" ht="12.75">
      <c r="A583" s="184"/>
    </row>
    <row r="584" spans="1:1" ht="12.75">
      <c r="A584" s="184"/>
    </row>
    <row r="585" spans="1:1" ht="12.75">
      <c r="A585" s="184"/>
    </row>
    <row r="586" spans="1:1" ht="12.75">
      <c r="A586" s="184"/>
    </row>
    <row r="587" spans="1:1" ht="12.75">
      <c r="A587" s="184"/>
    </row>
    <row r="588" spans="1:1" ht="12.75">
      <c r="A588" s="184"/>
    </row>
    <row r="589" spans="1:1" ht="12.75">
      <c r="A589" s="184"/>
    </row>
    <row r="590" spans="1:1" ht="12.75">
      <c r="A590" s="184"/>
    </row>
    <row r="591" spans="1:1" ht="12.75">
      <c r="A591" s="184"/>
    </row>
    <row r="592" spans="1:1" ht="12.75">
      <c r="A592" s="184"/>
    </row>
    <row r="593" spans="1:1" ht="12.75">
      <c r="A593" s="184"/>
    </row>
    <row r="594" spans="1:1" ht="12.75">
      <c r="A594" s="184"/>
    </row>
    <row r="595" spans="1:1" ht="12.75">
      <c r="A595" s="184"/>
    </row>
    <row r="596" spans="1:1" ht="12.75">
      <c r="A596" s="184"/>
    </row>
    <row r="597" spans="1:1" ht="12.75">
      <c r="A597" s="184"/>
    </row>
    <row r="598" spans="1:1" ht="12.75">
      <c r="A598" s="184"/>
    </row>
    <row r="599" spans="1:1" ht="12.75">
      <c r="A599" s="184"/>
    </row>
    <row r="600" spans="1:1" ht="12.75">
      <c r="A600" s="184"/>
    </row>
    <row r="601" spans="1:1" ht="12.75">
      <c r="A601" s="184"/>
    </row>
    <row r="602" spans="1:1" ht="12.75">
      <c r="A602" s="184"/>
    </row>
    <row r="603" spans="1:1" ht="12.75">
      <c r="A603" s="184"/>
    </row>
    <row r="604" spans="1:1" ht="12.75">
      <c r="A604" s="184"/>
    </row>
    <row r="605" spans="1:1" ht="12.75">
      <c r="A605" s="184"/>
    </row>
    <row r="606" spans="1:1" ht="12.75">
      <c r="A606" s="184"/>
    </row>
    <row r="607" spans="1:1" ht="12.75">
      <c r="A607" s="184"/>
    </row>
    <row r="608" spans="1:1" ht="12.75">
      <c r="A608" s="184"/>
    </row>
    <row r="609" spans="1:1" ht="12.75">
      <c r="A609" s="184"/>
    </row>
    <row r="610" spans="1:1" ht="12.75">
      <c r="A610" s="184"/>
    </row>
    <row r="611" spans="1:1" ht="12.75">
      <c r="A611" s="184"/>
    </row>
    <row r="612" spans="1:1" ht="12.75">
      <c r="A612" s="184"/>
    </row>
    <row r="613" spans="1:1" ht="12.75">
      <c r="A613" s="184"/>
    </row>
    <row r="614" spans="1:1" ht="12.75">
      <c r="A614" s="184"/>
    </row>
    <row r="615" spans="1:1" ht="12.75">
      <c r="A615" s="184"/>
    </row>
    <row r="616" spans="1:1" ht="12.75">
      <c r="A616" s="184"/>
    </row>
    <row r="617" spans="1:1" ht="12.75">
      <c r="A617" s="184"/>
    </row>
    <row r="618" spans="1:1" ht="12.75">
      <c r="A618" s="184"/>
    </row>
    <row r="619" spans="1:1" ht="12.75">
      <c r="A619" s="184"/>
    </row>
    <row r="620" spans="1:1" ht="12.75">
      <c r="A620" s="184"/>
    </row>
    <row r="621" spans="1:1" ht="12.75">
      <c r="A621" s="184"/>
    </row>
    <row r="622" spans="1:1" ht="12.75">
      <c r="A622" s="184"/>
    </row>
    <row r="623" spans="1:1" ht="12.75">
      <c r="A623" s="184"/>
    </row>
    <row r="624" spans="1:1" ht="12.75">
      <c r="A624" s="184"/>
    </row>
    <row r="625" spans="1:1" ht="12.75">
      <c r="A625" s="184"/>
    </row>
    <row r="626" spans="1:1" ht="12.75">
      <c r="A626" s="184"/>
    </row>
    <row r="627" spans="1:1" ht="12.75">
      <c r="A627" s="184"/>
    </row>
    <row r="628" spans="1:1" ht="12.75">
      <c r="A628" s="184"/>
    </row>
    <row r="629" spans="1:1" ht="12.75">
      <c r="A629" s="184"/>
    </row>
    <row r="630" spans="1:1" ht="12.75">
      <c r="A630" s="184"/>
    </row>
    <row r="631" spans="1:1" ht="12.75">
      <c r="A631" s="184"/>
    </row>
    <row r="632" spans="1:1" ht="12.75">
      <c r="A632" s="184"/>
    </row>
    <row r="633" spans="1:1" ht="12.75">
      <c r="A633" s="184"/>
    </row>
    <row r="634" spans="1:1" ht="12.75">
      <c r="A634" s="184"/>
    </row>
    <row r="635" spans="1:1" ht="12.75">
      <c r="A635" s="184"/>
    </row>
    <row r="636" spans="1:1" ht="12.75">
      <c r="A636" s="184"/>
    </row>
    <row r="637" spans="1:1" ht="12.75">
      <c r="A637" s="184"/>
    </row>
    <row r="638" spans="1:1" ht="12.75">
      <c r="A638" s="184"/>
    </row>
    <row r="639" spans="1:1" ht="12.75">
      <c r="A639" s="184"/>
    </row>
    <row r="640" spans="1:1" ht="12.75">
      <c r="A640" s="184"/>
    </row>
    <row r="641" spans="1:1" ht="12.75">
      <c r="A641" s="184"/>
    </row>
    <row r="642" spans="1:1" ht="12.75">
      <c r="A642" s="184"/>
    </row>
    <row r="643" spans="1:1" ht="12.75">
      <c r="A643" s="184"/>
    </row>
    <row r="644" spans="1:1" ht="12.75">
      <c r="A644" s="184"/>
    </row>
    <row r="645" spans="1:1" ht="12.75">
      <c r="A645" s="184"/>
    </row>
    <row r="646" spans="1:1" ht="12.75">
      <c r="A646" s="184"/>
    </row>
    <row r="647" spans="1:1" ht="12.75">
      <c r="A647" s="184"/>
    </row>
    <row r="648" spans="1:1" ht="12.75">
      <c r="A648" s="184"/>
    </row>
    <row r="649" spans="1:1" ht="12.75">
      <c r="A649" s="184"/>
    </row>
    <row r="650" spans="1:1" ht="12.75">
      <c r="A650" s="184"/>
    </row>
    <row r="651" spans="1:1" ht="12.75">
      <c r="A651" s="184"/>
    </row>
    <row r="652" spans="1:1" ht="12.75">
      <c r="A652" s="184"/>
    </row>
    <row r="653" spans="1:1" ht="12.75">
      <c r="A653" s="184"/>
    </row>
    <row r="654" spans="1:1" ht="12.75">
      <c r="A654" s="184"/>
    </row>
    <row r="655" spans="1:1" ht="12.75">
      <c r="A655" s="184"/>
    </row>
    <row r="656" spans="1:1" ht="12.75">
      <c r="A656" s="184"/>
    </row>
    <row r="657" spans="1:1" ht="12.75">
      <c r="A657" s="184"/>
    </row>
    <row r="658" spans="1:1" ht="12.75">
      <c r="A658" s="184"/>
    </row>
    <row r="659" spans="1:1" ht="12.75">
      <c r="A659" s="184"/>
    </row>
    <row r="660" spans="1:1" ht="12.75">
      <c r="A660" s="184"/>
    </row>
    <row r="661" spans="1:1" ht="12.75">
      <c r="A661" s="184"/>
    </row>
    <row r="662" spans="1:1" ht="12.75">
      <c r="A662" s="184"/>
    </row>
    <row r="663" spans="1:1" ht="12.75">
      <c r="A663" s="184"/>
    </row>
    <row r="664" spans="1:1" ht="12.75">
      <c r="A664" s="184"/>
    </row>
    <row r="665" spans="1:1" ht="12.75">
      <c r="A665" s="184"/>
    </row>
    <row r="666" spans="1:1" ht="12.75">
      <c r="A666" s="184"/>
    </row>
    <row r="667" spans="1:1" ht="12.75">
      <c r="A667" s="184"/>
    </row>
    <row r="668" spans="1:1" ht="12.75">
      <c r="A668" s="184"/>
    </row>
    <row r="669" spans="1:1" ht="12.75">
      <c r="A669" s="184"/>
    </row>
    <row r="670" spans="1:1" ht="12.75">
      <c r="A670" s="184"/>
    </row>
    <row r="671" spans="1:1" ht="12.75">
      <c r="A671" s="184"/>
    </row>
    <row r="672" spans="1:1" ht="12.75">
      <c r="A672" s="184"/>
    </row>
    <row r="673" spans="1:1" ht="12.75">
      <c r="A673" s="184"/>
    </row>
    <row r="674" spans="1:1" ht="12.75">
      <c r="A674" s="184"/>
    </row>
    <row r="675" spans="1:1" ht="12.75">
      <c r="A675" s="184"/>
    </row>
    <row r="676" spans="1:1" ht="12.75">
      <c r="A676" s="184"/>
    </row>
    <row r="677" spans="1:1" ht="12.75">
      <c r="A677" s="184"/>
    </row>
    <row r="678" spans="1:1" ht="12.75">
      <c r="A678" s="184"/>
    </row>
    <row r="679" spans="1:1" ht="12.75">
      <c r="A679" s="184"/>
    </row>
    <row r="680" spans="1:1" ht="12.75">
      <c r="A680" s="184"/>
    </row>
    <row r="681" spans="1:1" ht="12.75">
      <c r="A681" s="184"/>
    </row>
    <row r="682" spans="1:1" ht="12.75">
      <c r="A682" s="184"/>
    </row>
    <row r="683" spans="1:1" ht="12.75">
      <c r="A683" s="184"/>
    </row>
    <row r="684" spans="1:1" ht="12.75">
      <c r="A684" s="184"/>
    </row>
    <row r="685" spans="1:1" ht="12.75">
      <c r="A685" s="184"/>
    </row>
    <row r="686" spans="1:1" ht="12.75">
      <c r="A686" s="184"/>
    </row>
    <row r="687" spans="1:1" ht="12.75">
      <c r="A687" s="184"/>
    </row>
    <row r="688" spans="1:1" ht="12.75">
      <c r="A688" s="184"/>
    </row>
    <row r="689" spans="1:1" ht="12.75">
      <c r="A689" s="184"/>
    </row>
    <row r="690" spans="1:1" ht="12.75">
      <c r="A690" s="184"/>
    </row>
    <row r="691" spans="1:1" ht="12.75">
      <c r="A691" s="184"/>
    </row>
    <row r="692" spans="1:1" ht="12.75">
      <c r="A692" s="184"/>
    </row>
    <row r="693" spans="1:1" ht="12.75">
      <c r="A693" s="184"/>
    </row>
    <row r="694" spans="1:1" ht="12.75">
      <c r="A694" s="184"/>
    </row>
    <row r="695" spans="1:1" ht="12.75">
      <c r="A695" s="184"/>
    </row>
    <row r="696" spans="1:1" ht="12.75">
      <c r="A696" s="184"/>
    </row>
    <row r="697" spans="1:1" ht="12.75">
      <c r="A697" s="184"/>
    </row>
    <row r="698" spans="1:1" ht="12.75">
      <c r="A698" s="184"/>
    </row>
    <row r="699" spans="1:1" ht="12.75">
      <c r="A699" s="184"/>
    </row>
    <row r="700" spans="1:1" ht="12.75">
      <c r="A700" s="184"/>
    </row>
    <row r="701" spans="1:1" ht="12.75">
      <c r="A701" s="184"/>
    </row>
    <row r="702" spans="1:1" ht="12.75">
      <c r="A702" s="184"/>
    </row>
    <row r="703" spans="1:1" ht="12.75">
      <c r="A703" s="184"/>
    </row>
    <row r="704" spans="1:1" ht="12.75">
      <c r="A704" s="184"/>
    </row>
    <row r="705" spans="1:1" ht="12.75">
      <c r="A705" s="184"/>
    </row>
    <row r="706" spans="1:1" ht="12.75">
      <c r="A706" s="184"/>
    </row>
    <row r="707" spans="1:1" ht="12.75">
      <c r="A707" s="184"/>
    </row>
    <row r="708" spans="1:1" ht="12.75">
      <c r="A708" s="184"/>
    </row>
    <row r="709" spans="1:1" ht="12.75">
      <c r="A709" s="184"/>
    </row>
    <row r="710" spans="1:1" ht="12.75">
      <c r="A710" s="184"/>
    </row>
    <row r="711" spans="1:1" ht="12.75">
      <c r="A711" s="184"/>
    </row>
    <row r="712" spans="1:1" ht="12.75">
      <c r="A712" s="184"/>
    </row>
    <row r="713" spans="1:1" ht="12.75">
      <c r="A713" s="184"/>
    </row>
    <row r="714" spans="1:1" ht="12.75">
      <c r="A714" s="184"/>
    </row>
    <row r="715" spans="1:1" ht="12.75">
      <c r="A715" s="184"/>
    </row>
    <row r="716" spans="1:1" ht="12.75">
      <c r="A716" s="184"/>
    </row>
    <row r="717" spans="1:1" ht="12.75">
      <c r="A717" s="184"/>
    </row>
    <row r="718" spans="1:1" ht="12.75">
      <c r="A718" s="184"/>
    </row>
    <row r="719" spans="1:1" ht="12.75">
      <c r="A719" s="184"/>
    </row>
    <row r="720" spans="1:1" ht="12.75">
      <c r="A720" s="184"/>
    </row>
    <row r="721" spans="1:1" ht="12.75">
      <c r="A721" s="184"/>
    </row>
    <row r="722" spans="1:1" ht="12.75">
      <c r="A722" s="184"/>
    </row>
    <row r="723" spans="1:1" ht="12.75">
      <c r="A723" s="184"/>
    </row>
    <row r="724" spans="1:1" ht="12.75">
      <c r="A724" s="184"/>
    </row>
    <row r="725" spans="1:1" ht="12.75">
      <c r="A725" s="184"/>
    </row>
    <row r="726" spans="1:1" ht="12.75">
      <c r="A726" s="184"/>
    </row>
    <row r="727" spans="1:1" ht="12.75">
      <c r="A727" s="184"/>
    </row>
    <row r="728" spans="1:1" ht="12.75">
      <c r="A728" s="184"/>
    </row>
    <row r="729" spans="1:1" ht="12.75">
      <c r="A729" s="184"/>
    </row>
    <row r="730" spans="1:1" ht="12.75">
      <c r="A730" s="184"/>
    </row>
    <row r="731" spans="1:1" ht="12.75">
      <c r="A731" s="184"/>
    </row>
    <row r="732" spans="1:1" ht="12.75">
      <c r="A732" s="184"/>
    </row>
    <row r="733" spans="1:1" ht="12.75">
      <c r="A733" s="184"/>
    </row>
    <row r="734" spans="1:1" ht="12.75">
      <c r="A734" s="184"/>
    </row>
    <row r="735" spans="1:1" ht="12.75">
      <c r="A735" s="184"/>
    </row>
    <row r="736" spans="1:1" ht="12.75">
      <c r="A736" s="184"/>
    </row>
    <row r="737" spans="1:1" ht="12.75">
      <c r="A737" s="184"/>
    </row>
    <row r="738" spans="1:1" ht="12.75">
      <c r="A738" s="184"/>
    </row>
    <row r="739" spans="1:1" ht="12.75">
      <c r="A739" s="184"/>
    </row>
    <row r="740" spans="1:1" ht="12.75">
      <c r="A740" s="184"/>
    </row>
    <row r="741" spans="1:1" ht="12.75">
      <c r="A741" s="184"/>
    </row>
    <row r="742" spans="1:1" ht="12.75">
      <c r="A742" s="184"/>
    </row>
    <row r="743" spans="1:1" ht="12.75">
      <c r="A743" s="184"/>
    </row>
    <row r="744" spans="1:1" ht="12.75">
      <c r="A744" s="184"/>
    </row>
    <row r="745" spans="1:1" ht="12.75">
      <c r="A745" s="184"/>
    </row>
    <row r="746" spans="1:1" ht="12.75">
      <c r="A746" s="184"/>
    </row>
    <row r="747" spans="1:1" ht="12.75">
      <c r="A747" s="184"/>
    </row>
    <row r="748" spans="1:1" ht="12.75">
      <c r="A748" s="184"/>
    </row>
    <row r="749" spans="1:1" ht="12.75">
      <c r="A749" s="184"/>
    </row>
    <row r="750" spans="1:1" ht="12.75">
      <c r="A750" s="184"/>
    </row>
    <row r="751" spans="1:1" ht="12.75">
      <c r="A751" s="184"/>
    </row>
    <row r="752" spans="1:1" ht="12.75">
      <c r="A752" s="184"/>
    </row>
    <row r="753" spans="1:1" ht="12.75">
      <c r="A753" s="184"/>
    </row>
    <row r="754" spans="1:1" ht="12.75">
      <c r="A754" s="184"/>
    </row>
    <row r="755" spans="1:1" ht="12.75">
      <c r="A755" s="184"/>
    </row>
    <row r="756" spans="1:1" ht="12.75">
      <c r="A756" s="184"/>
    </row>
    <row r="757" spans="1:1" ht="12.75">
      <c r="A757" s="184"/>
    </row>
    <row r="758" spans="1:1" ht="12.75">
      <c r="A758" s="184"/>
    </row>
    <row r="759" spans="1:1" ht="12.75">
      <c r="A759" s="184"/>
    </row>
    <row r="760" spans="1:1" ht="12.75">
      <c r="A760" s="184"/>
    </row>
    <row r="761" spans="1:1" ht="12.75">
      <c r="A761" s="184"/>
    </row>
    <row r="762" spans="1:1" ht="12.75">
      <c r="A762" s="184"/>
    </row>
    <row r="763" spans="1:1" ht="12.75">
      <c r="A763" s="184"/>
    </row>
    <row r="764" spans="1:1" ht="12.75">
      <c r="A764" s="184"/>
    </row>
    <row r="765" spans="1:1" ht="12.75">
      <c r="A765" s="184"/>
    </row>
    <row r="766" spans="1:1" ht="12.75">
      <c r="A766" s="184"/>
    </row>
    <row r="767" spans="1:1" ht="12.75">
      <c r="A767" s="184"/>
    </row>
    <row r="768" spans="1:1" ht="12.75">
      <c r="A768" s="184"/>
    </row>
    <row r="769" spans="1:1" ht="12.75">
      <c r="A769" s="184"/>
    </row>
    <row r="770" spans="1:1" ht="12.75">
      <c r="A770" s="184"/>
    </row>
    <row r="771" spans="1:1" ht="12.75">
      <c r="A771" s="184"/>
    </row>
    <row r="772" spans="1:1" ht="12.75">
      <c r="A772" s="184"/>
    </row>
    <row r="773" spans="1:1" ht="12.75">
      <c r="A773" s="184"/>
    </row>
    <row r="774" spans="1:1" ht="12.75">
      <c r="A774" s="184"/>
    </row>
    <row r="775" spans="1:1" ht="12.75">
      <c r="A775" s="184"/>
    </row>
    <row r="776" spans="1:1" ht="12.75">
      <c r="A776" s="184"/>
    </row>
    <row r="777" spans="1:1" ht="12.75">
      <c r="A777" s="184"/>
    </row>
    <row r="778" spans="1:1" ht="12.75">
      <c r="A778" s="184"/>
    </row>
    <row r="779" spans="1:1" ht="12.75">
      <c r="A779" s="184"/>
    </row>
    <row r="780" spans="1:1" ht="12.75">
      <c r="A780" s="184"/>
    </row>
    <row r="781" spans="1:1" ht="12.75">
      <c r="A781" s="184"/>
    </row>
    <row r="782" spans="1:1" ht="12.75">
      <c r="A782" s="184"/>
    </row>
    <row r="783" spans="1:1" ht="12.75">
      <c r="A783" s="184"/>
    </row>
    <row r="784" spans="1:1" ht="12.75">
      <c r="A784" s="184"/>
    </row>
    <row r="785" spans="1:1" ht="12.75">
      <c r="A785" s="184"/>
    </row>
    <row r="786" spans="1:1" ht="12.75">
      <c r="A786" s="184"/>
    </row>
    <row r="787" spans="1:1" ht="12.75">
      <c r="A787" s="184"/>
    </row>
    <row r="788" spans="1:1" ht="12.75">
      <c r="A788" s="184"/>
    </row>
    <row r="789" spans="1:1" ht="12.75">
      <c r="A789" s="184"/>
    </row>
    <row r="790" spans="1:1" ht="12.75">
      <c r="A790" s="184"/>
    </row>
    <row r="791" spans="1:1" ht="12.75">
      <c r="A791" s="184"/>
    </row>
    <row r="792" spans="1:1" ht="12.75">
      <c r="A792" s="184"/>
    </row>
    <row r="793" spans="1:1" ht="12.75">
      <c r="A793" s="184"/>
    </row>
    <row r="794" spans="1:1" ht="12.75">
      <c r="A794" s="184"/>
    </row>
    <row r="795" spans="1:1" ht="12.75">
      <c r="A795" s="184"/>
    </row>
    <row r="796" spans="1:1" ht="12.75">
      <c r="A796" s="184"/>
    </row>
    <row r="797" spans="1:1" ht="12.75">
      <c r="A797" s="184"/>
    </row>
    <row r="798" spans="1:1" ht="12.75">
      <c r="A798" s="184"/>
    </row>
    <row r="799" spans="1:1" ht="12.75">
      <c r="A799" s="184"/>
    </row>
    <row r="800" spans="1:1" ht="12.75">
      <c r="A800" s="184"/>
    </row>
    <row r="801" spans="1:1" ht="12.75">
      <c r="A801" s="184"/>
    </row>
    <row r="802" spans="1:1" ht="12.75">
      <c r="A802" s="184"/>
    </row>
    <row r="803" spans="1:1" ht="12.75">
      <c r="A803" s="184"/>
    </row>
    <row r="804" spans="1:1" ht="12.75">
      <c r="A804" s="184"/>
    </row>
    <row r="805" spans="1:1" ht="12.75">
      <c r="A805" s="184"/>
    </row>
    <row r="806" spans="1:1" ht="12.75">
      <c r="A806" s="184"/>
    </row>
    <row r="807" spans="1:1" ht="12.75">
      <c r="A807" s="184"/>
    </row>
    <row r="808" spans="1:1" ht="12.75">
      <c r="A808" s="184"/>
    </row>
    <row r="809" spans="1:1" ht="12.75">
      <c r="A809" s="184"/>
    </row>
    <row r="810" spans="1:1" ht="12.75">
      <c r="A810" s="184"/>
    </row>
    <row r="811" spans="1:1" ht="12.75">
      <c r="A811" s="184"/>
    </row>
    <row r="812" spans="1:1" ht="12.75">
      <c r="A812" s="184"/>
    </row>
    <row r="813" spans="1:1" ht="12.75">
      <c r="A813" s="184"/>
    </row>
    <row r="814" spans="1:1" ht="12.75">
      <c r="A814" s="184"/>
    </row>
    <row r="815" spans="1:1" ht="12.75">
      <c r="A815" s="184"/>
    </row>
    <row r="816" spans="1:1" ht="12.75">
      <c r="A816" s="184"/>
    </row>
    <row r="817" spans="1:1" ht="12.75">
      <c r="A817" s="184"/>
    </row>
    <row r="818" spans="1:1" ht="12.75">
      <c r="A818" s="184"/>
    </row>
    <row r="819" spans="1:1" ht="12.75">
      <c r="A819" s="184"/>
    </row>
    <row r="820" spans="1:1" ht="12.75">
      <c r="A820" s="184"/>
    </row>
    <row r="821" spans="1:1" ht="12.75">
      <c r="A821" s="184"/>
    </row>
    <row r="822" spans="1:1" ht="12.75">
      <c r="A822" s="184"/>
    </row>
    <row r="823" spans="1:1" ht="12.75">
      <c r="A823" s="184"/>
    </row>
    <row r="824" spans="1:1" ht="12.75">
      <c r="A824" s="184"/>
    </row>
    <row r="825" spans="1:1" ht="12.75">
      <c r="A825" s="184"/>
    </row>
    <row r="826" spans="1:1" ht="12.75">
      <c r="A826" s="184"/>
    </row>
    <row r="827" spans="1:1" ht="12.75">
      <c r="A827" s="184"/>
    </row>
    <row r="828" spans="1:1" ht="12.75">
      <c r="A828" s="184"/>
    </row>
    <row r="829" spans="1:1" ht="12.75">
      <c r="A829" s="184"/>
    </row>
    <row r="830" spans="1:1" ht="12.75">
      <c r="A830" s="184"/>
    </row>
    <row r="831" spans="1:1" ht="12.75">
      <c r="A831" s="184"/>
    </row>
    <row r="832" spans="1:1" ht="12.75">
      <c r="A832" s="184"/>
    </row>
    <row r="833" spans="1:1" ht="12.75">
      <c r="A833" s="184"/>
    </row>
    <row r="834" spans="1:1" ht="12.75">
      <c r="A834" s="184"/>
    </row>
    <row r="835" spans="1:1" ht="12.75">
      <c r="A835" s="184"/>
    </row>
    <row r="836" spans="1:1" ht="12.75">
      <c r="A836" s="184"/>
    </row>
    <row r="837" spans="1:1" ht="12.75">
      <c r="A837" s="184"/>
    </row>
    <row r="838" spans="1:1" ht="12.75">
      <c r="A838" s="184"/>
    </row>
    <row r="839" spans="1:1" ht="12.75">
      <c r="A839" s="184"/>
    </row>
    <row r="840" spans="1:1" ht="12.75">
      <c r="A840" s="184"/>
    </row>
    <row r="841" spans="1:1" ht="12.75">
      <c r="A841" s="184"/>
    </row>
    <row r="842" spans="1:1" ht="12.75">
      <c r="A842" s="184"/>
    </row>
    <row r="843" spans="1:1" ht="12.75">
      <c r="A843" s="184"/>
    </row>
    <row r="844" spans="1:1" ht="12.75">
      <c r="A844" s="184"/>
    </row>
    <row r="845" spans="1:1" ht="12.75">
      <c r="A845" s="184"/>
    </row>
    <row r="846" spans="1:1" ht="12.75">
      <c r="A846" s="184"/>
    </row>
    <row r="847" spans="1:1" ht="12.75">
      <c r="A847" s="184"/>
    </row>
    <row r="848" spans="1:1" ht="12.75">
      <c r="A848" s="184"/>
    </row>
    <row r="849" spans="1:1" ht="12.75">
      <c r="A849" s="184"/>
    </row>
    <row r="850" spans="1:1" ht="12.75">
      <c r="A850" s="184"/>
    </row>
    <row r="851" spans="1:1" ht="12.75">
      <c r="A851" s="184"/>
    </row>
    <row r="852" spans="1:1" ht="12.75">
      <c r="A852" s="184"/>
    </row>
    <row r="853" spans="1:1" ht="12.75">
      <c r="A853" s="184"/>
    </row>
    <row r="854" spans="1:1" ht="12.75">
      <c r="A854" s="184"/>
    </row>
    <row r="855" spans="1:1" ht="12.75">
      <c r="A855" s="184"/>
    </row>
    <row r="856" spans="1:1" ht="12.75">
      <c r="A856" s="184"/>
    </row>
    <row r="857" spans="1:1" ht="12.75">
      <c r="A857" s="184"/>
    </row>
    <row r="858" spans="1:1" ht="12.75">
      <c r="A858" s="184"/>
    </row>
    <row r="859" spans="1:1" ht="12.75">
      <c r="A859" s="184"/>
    </row>
    <row r="860" spans="1:1" ht="12.75">
      <c r="A860" s="184"/>
    </row>
    <row r="861" spans="1:1" ht="12.75">
      <c r="A861" s="184"/>
    </row>
    <row r="862" spans="1:1" ht="12.75">
      <c r="A862" s="184"/>
    </row>
    <row r="863" spans="1:1" ht="12.75">
      <c r="A863" s="184"/>
    </row>
    <row r="864" spans="1:1" ht="12.75">
      <c r="A864" s="184"/>
    </row>
    <row r="865" spans="1:1" ht="12.75">
      <c r="A865" s="184"/>
    </row>
    <row r="866" spans="1:1" ht="12.75">
      <c r="A866" s="184"/>
    </row>
    <row r="867" spans="1:1" ht="12.75">
      <c r="A867" s="184"/>
    </row>
    <row r="868" spans="1:1" ht="12.75">
      <c r="A868" s="184"/>
    </row>
    <row r="869" spans="1:1" ht="12.75">
      <c r="A869" s="184"/>
    </row>
    <row r="870" spans="1:1" ht="12.75">
      <c r="A870" s="184"/>
    </row>
    <row r="871" spans="1:1" ht="12.75">
      <c r="A871" s="184"/>
    </row>
    <row r="872" spans="1:1" ht="12.75">
      <c r="A872" s="184"/>
    </row>
    <row r="873" spans="1:1" ht="12.75">
      <c r="A873" s="184"/>
    </row>
    <row r="874" spans="1:1" ht="12.75">
      <c r="A874" s="184"/>
    </row>
    <row r="875" spans="1:1" ht="12.75">
      <c r="A875" s="184"/>
    </row>
    <row r="876" spans="1:1" ht="12.75">
      <c r="A876" s="184"/>
    </row>
    <row r="877" spans="1:1" ht="12.75">
      <c r="A877" s="184"/>
    </row>
    <row r="878" spans="1:1" ht="12.75">
      <c r="A878" s="184"/>
    </row>
    <row r="879" spans="1:1" ht="12.75">
      <c r="A879" s="184"/>
    </row>
    <row r="880" spans="1:1" ht="12.75">
      <c r="A880" s="184"/>
    </row>
    <row r="881" spans="1:1" ht="12.75">
      <c r="A881" s="184"/>
    </row>
    <row r="882" spans="1:1" ht="12.75">
      <c r="A882" s="184"/>
    </row>
    <row r="883" spans="1:1" ht="12.75">
      <c r="A883" s="184"/>
    </row>
    <row r="884" spans="1:1" ht="12.75">
      <c r="A884" s="184"/>
    </row>
    <row r="885" spans="1:1" ht="12.75">
      <c r="A885" s="184"/>
    </row>
    <row r="886" spans="1:1" ht="12.75">
      <c r="A886" s="184"/>
    </row>
    <row r="887" spans="1:1" ht="12.75">
      <c r="A887" s="184"/>
    </row>
    <row r="888" spans="1:1" ht="12.75">
      <c r="A888" s="184"/>
    </row>
    <row r="889" spans="1:1" ht="12.75">
      <c r="A889" s="184"/>
    </row>
    <row r="890" spans="1:1" ht="12.75">
      <c r="A890" s="184"/>
    </row>
    <row r="891" spans="1:1" ht="12.75">
      <c r="A891" s="184"/>
    </row>
    <row r="892" spans="1:1" ht="12.75">
      <c r="A892" s="184"/>
    </row>
    <row r="893" spans="1:1" ht="12.75">
      <c r="A893" s="184"/>
    </row>
    <row r="894" spans="1:1" ht="12.75">
      <c r="A894" s="184"/>
    </row>
    <row r="895" spans="1:1" ht="12.75">
      <c r="A895" s="184"/>
    </row>
    <row r="896" spans="1:1" ht="12.75">
      <c r="A896" s="184"/>
    </row>
    <row r="897" spans="1:1" ht="12.75">
      <c r="A897" s="184"/>
    </row>
    <row r="898" spans="1:1" ht="12.75">
      <c r="A898" s="184"/>
    </row>
    <row r="899" spans="1:1" ht="12.75">
      <c r="A899" s="184"/>
    </row>
    <row r="900" spans="1:1" ht="12.75">
      <c r="A900" s="184"/>
    </row>
    <row r="901" spans="1:1" ht="12.75">
      <c r="A901" s="184"/>
    </row>
    <row r="902" spans="1:1" ht="12.75">
      <c r="A902" s="184"/>
    </row>
    <row r="903" spans="1:1" ht="12.75">
      <c r="A903" s="184"/>
    </row>
    <row r="904" spans="1:1" ht="12.75">
      <c r="A904" s="184"/>
    </row>
    <row r="905" spans="1:1" ht="12.75">
      <c r="A905" s="184"/>
    </row>
    <row r="906" spans="1:1" ht="12.75">
      <c r="A906" s="184"/>
    </row>
    <row r="907" spans="1:1" ht="12.75">
      <c r="A907" s="184"/>
    </row>
    <row r="908" spans="1:1" ht="12.75">
      <c r="A908" s="184"/>
    </row>
    <row r="909" spans="1:1" ht="12.75">
      <c r="A909" s="184"/>
    </row>
    <row r="910" spans="1:1" ht="12.75">
      <c r="A910" s="184"/>
    </row>
    <row r="911" spans="1:1" ht="12.75">
      <c r="A911" s="184"/>
    </row>
    <row r="912" spans="1:1" ht="12.75">
      <c r="A912" s="184"/>
    </row>
    <row r="913" spans="1:1" ht="12.75">
      <c r="A913" s="184"/>
    </row>
    <row r="914" spans="1:1" ht="12.75">
      <c r="A914" s="184"/>
    </row>
    <row r="915" spans="1:1" ht="12.75">
      <c r="A915" s="184"/>
    </row>
    <row r="916" spans="1:1" ht="12.75">
      <c r="A916" s="184"/>
    </row>
    <row r="917" spans="1:1" ht="12.75">
      <c r="A917" s="184"/>
    </row>
    <row r="918" spans="1:1" ht="12.75">
      <c r="A918" s="184"/>
    </row>
    <row r="919" spans="1:1" ht="12.75">
      <c r="A919" s="184"/>
    </row>
    <row r="920" spans="1:1" ht="12.75">
      <c r="A920" s="184"/>
    </row>
    <row r="921" spans="1:1" ht="12.75">
      <c r="A921" s="184"/>
    </row>
    <row r="922" spans="1:1" ht="12.75">
      <c r="A922" s="184"/>
    </row>
    <row r="923" spans="1:1" ht="12.75">
      <c r="A923" s="184"/>
    </row>
    <row r="924" spans="1:1" ht="12.75">
      <c r="A924" s="184"/>
    </row>
    <row r="925" spans="1:1" ht="12.75">
      <c r="A925" s="184"/>
    </row>
    <row r="926" spans="1:1" ht="12.75">
      <c r="A926" s="184"/>
    </row>
    <row r="927" spans="1:1" ht="12.75">
      <c r="A927" s="184"/>
    </row>
    <row r="928" spans="1:1" ht="12.75">
      <c r="A928" s="184"/>
    </row>
    <row r="929" spans="1:1" ht="12.75">
      <c r="A929" s="184"/>
    </row>
    <row r="930" spans="1:1" ht="12.75">
      <c r="A930" s="184"/>
    </row>
    <row r="931" spans="1:1" ht="12.75">
      <c r="A931" s="184"/>
    </row>
    <row r="932" spans="1:1" ht="12.75">
      <c r="A932" s="184"/>
    </row>
    <row r="933" spans="1:1" ht="12.75">
      <c r="A933" s="184"/>
    </row>
    <row r="934" spans="1:1" ht="12.75">
      <c r="A934" s="184"/>
    </row>
    <row r="935" spans="1:1" ht="12.75">
      <c r="A935" s="184"/>
    </row>
    <row r="936" spans="1:1" ht="12.75">
      <c r="A936" s="184"/>
    </row>
    <row r="937" spans="1:1" ht="12.75">
      <c r="A937" s="184"/>
    </row>
    <row r="938" spans="1:1" ht="12.75">
      <c r="A938" s="184"/>
    </row>
    <row r="939" spans="1:1" ht="12.75">
      <c r="A939" s="184"/>
    </row>
    <row r="940" spans="1:1" ht="12.75">
      <c r="A940" s="184"/>
    </row>
    <row r="941" spans="1:1" ht="12.75">
      <c r="A941" s="184"/>
    </row>
    <row r="942" spans="1:1" ht="12.75">
      <c r="A942" s="184"/>
    </row>
    <row r="943" spans="1:1" ht="12.75">
      <c r="A943" s="184"/>
    </row>
    <row r="944" spans="1:1" ht="12.75">
      <c r="A944" s="184"/>
    </row>
    <row r="945" spans="1:1" ht="12.75">
      <c r="A945" s="184"/>
    </row>
    <row r="946" spans="1:1" ht="12.75">
      <c r="A946" s="184"/>
    </row>
    <row r="947" spans="1:1" ht="12.75">
      <c r="A947" s="184"/>
    </row>
    <row r="948" spans="1:1" ht="12.75">
      <c r="A948" s="184"/>
    </row>
    <row r="949" spans="1:1" ht="12.75">
      <c r="A949" s="184"/>
    </row>
    <row r="950" spans="1:1" ht="12.75">
      <c r="A950" s="184"/>
    </row>
    <row r="951" spans="1:1" ht="12.75">
      <c r="A951" s="184"/>
    </row>
    <row r="952" spans="1:1" ht="12.75">
      <c r="A952" s="184"/>
    </row>
    <row r="953" spans="1:1" ht="12.75">
      <c r="A953" s="184"/>
    </row>
    <row r="954" spans="1:1" ht="12.75">
      <c r="A954" s="184"/>
    </row>
    <row r="955" spans="1:1" ht="12.75">
      <c r="A955" s="184"/>
    </row>
    <row r="956" spans="1:1" ht="12.75">
      <c r="A956" s="184"/>
    </row>
    <row r="957" spans="1:1" ht="12.75">
      <c r="A957" s="184"/>
    </row>
    <row r="958" spans="1:1" ht="12.75">
      <c r="A958" s="184"/>
    </row>
    <row r="959" spans="1:1" ht="12.75">
      <c r="A959" s="184"/>
    </row>
    <row r="960" spans="1:1" ht="12.75">
      <c r="A960" s="184"/>
    </row>
    <row r="961" spans="1:1" ht="12.75">
      <c r="A961" s="184"/>
    </row>
    <row r="962" spans="1:1" ht="12.75">
      <c r="A962" s="184"/>
    </row>
    <row r="963" spans="1:1" ht="12.75">
      <c r="A963" s="184"/>
    </row>
    <row r="964" spans="1:1" ht="12.75">
      <c r="A964" s="184"/>
    </row>
    <row r="965" spans="1:1" ht="12.75">
      <c r="A965" s="184"/>
    </row>
    <row r="966" spans="1:1" ht="12.75">
      <c r="A966" s="184"/>
    </row>
    <row r="967" spans="1:1" ht="12.75">
      <c r="A967" s="184"/>
    </row>
    <row r="968" spans="1:1" ht="12.75">
      <c r="A968" s="184"/>
    </row>
    <row r="969" spans="1:1" ht="12.75">
      <c r="A969" s="184"/>
    </row>
    <row r="970" spans="1:1" ht="12.75">
      <c r="A970" s="184"/>
    </row>
    <row r="971" spans="1:1" ht="12.75">
      <c r="A971" s="184"/>
    </row>
    <row r="972" spans="1:1" ht="12.75">
      <c r="A972" s="184"/>
    </row>
    <row r="973" spans="1:1" ht="12.75">
      <c r="A973" s="184"/>
    </row>
    <row r="974" spans="1:1" ht="12.75">
      <c r="A974" s="184"/>
    </row>
    <row r="975" spans="1:1" ht="12.75">
      <c r="A975" s="184"/>
    </row>
    <row r="976" spans="1:1" ht="12.75">
      <c r="A976" s="184"/>
    </row>
    <row r="977" spans="1:1" ht="12.75">
      <c r="A977" s="184"/>
    </row>
    <row r="978" spans="1:1" ht="12.75">
      <c r="A978" s="184"/>
    </row>
    <row r="979" spans="1:1" ht="12.75">
      <c r="A979" s="184"/>
    </row>
    <row r="980" spans="1:1" ht="12.75">
      <c r="A980" s="184"/>
    </row>
    <row r="981" spans="1:1" ht="12.75">
      <c r="A981" s="184"/>
    </row>
    <row r="982" spans="1:1" ht="12.75">
      <c r="A982" s="184"/>
    </row>
    <row r="983" spans="1:1" ht="12.75">
      <c r="A983" s="184"/>
    </row>
    <row r="984" spans="1:1" ht="12.75">
      <c r="A984" s="184"/>
    </row>
    <row r="985" spans="1:1" ht="12.75">
      <c r="A985" s="184"/>
    </row>
    <row r="986" spans="1:1" ht="12.75">
      <c r="A986" s="184"/>
    </row>
    <row r="987" spans="1:1" ht="12.75">
      <c r="A987" s="184"/>
    </row>
    <row r="988" spans="1:1" ht="12.75">
      <c r="A988" s="184"/>
    </row>
    <row r="989" spans="1:1" ht="12.75">
      <c r="A989" s="184"/>
    </row>
    <row r="990" spans="1:1" ht="12.75">
      <c r="A990" s="184"/>
    </row>
    <row r="991" spans="1:1" ht="12.75">
      <c r="A991" s="184"/>
    </row>
    <row r="992" spans="1:1" ht="12.75">
      <c r="A992" s="184"/>
    </row>
    <row r="993" spans="1:1" ht="12.75">
      <c r="A993" s="184"/>
    </row>
    <row r="994" spans="1:1" ht="12.75">
      <c r="A994" s="184"/>
    </row>
    <row r="995" spans="1:1" ht="12.75">
      <c r="A995" s="184"/>
    </row>
    <row r="996" spans="1:1" ht="12.75">
      <c r="A996" s="184"/>
    </row>
    <row r="997" spans="1:1" ht="12.75">
      <c r="A997" s="184"/>
    </row>
    <row r="998" spans="1:1" ht="12.75">
      <c r="A998" s="184"/>
    </row>
    <row r="999" spans="1:1" ht="12.75">
      <c r="A999" s="184"/>
    </row>
    <row r="1000" spans="1:1" ht="12.75">
      <c r="A1000" s="184"/>
    </row>
  </sheetData>
  <mergeCells count="1">
    <mergeCell ref="B3:D3"/>
  </mergeCells>
  <phoneticPr fontId="8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3:O15"/>
  <sheetViews>
    <sheetView workbookViewId="0"/>
  </sheetViews>
  <sheetFormatPr defaultColWidth="14.42578125" defaultRowHeight="15.75" customHeight="1"/>
  <cols>
    <col min="2" max="2" width="19.5703125" customWidth="1"/>
    <col min="8" max="15" width="17.7109375" customWidth="1"/>
  </cols>
  <sheetData>
    <row r="3" spans="1:15" ht="15.75" customHeight="1">
      <c r="A3" s="796" t="s">
        <v>636</v>
      </c>
      <c r="B3" s="797">
        <v>3935</v>
      </c>
    </row>
    <row r="4" spans="1:15" ht="15.75" customHeight="1">
      <c r="A4" s="798" t="s">
        <v>637</v>
      </c>
      <c r="B4" s="799">
        <v>4171</v>
      </c>
      <c r="G4" s="149"/>
      <c r="H4" s="149" t="s">
        <v>638</v>
      </c>
      <c r="I4" s="149" t="s">
        <v>632</v>
      </c>
      <c r="J4" s="149" t="s">
        <v>639</v>
      </c>
      <c r="K4" s="149" t="s">
        <v>640</v>
      </c>
      <c r="L4" s="149" t="s">
        <v>641</v>
      </c>
      <c r="M4" s="149" t="s">
        <v>540</v>
      </c>
      <c r="N4" s="149" t="s">
        <v>570</v>
      </c>
      <c r="O4" s="149" t="s">
        <v>642</v>
      </c>
    </row>
    <row r="5" spans="1:15" ht="15.75" customHeight="1">
      <c r="A5" s="800" t="s">
        <v>643</v>
      </c>
      <c r="B5" s="799">
        <v>8136</v>
      </c>
      <c r="G5" s="149" t="s">
        <v>592</v>
      </c>
      <c r="H5" s="801">
        <v>90492047.340000004</v>
      </c>
      <c r="I5" s="801">
        <v>93987001.340000004</v>
      </c>
      <c r="J5" s="801">
        <v>97287985.209999993</v>
      </c>
      <c r="K5" s="801">
        <v>99981667.269999996</v>
      </c>
      <c r="L5" s="801">
        <v>102770498.06</v>
      </c>
      <c r="M5" s="801">
        <v>105657280.79000001</v>
      </c>
      <c r="N5" s="801">
        <v>108698476.37</v>
      </c>
      <c r="O5" s="801">
        <v>111412287.98999999</v>
      </c>
    </row>
    <row r="6" spans="1:15" ht="15.75" customHeight="1">
      <c r="A6" s="802"/>
      <c r="B6" s="803"/>
      <c r="G6" s="149" t="s">
        <v>588</v>
      </c>
      <c r="H6" s="801">
        <v>169213469.05000001</v>
      </c>
      <c r="I6" s="801">
        <v>174614679.44</v>
      </c>
      <c r="J6" s="801">
        <v>180374351.97999999</v>
      </c>
      <c r="K6" s="801">
        <v>184501760.88999999</v>
      </c>
      <c r="L6" s="801">
        <v>188681618.52000001</v>
      </c>
      <c r="M6" s="801">
        <v>193644325.49000001</v>
      </c>
      <c r="N6" s="801">
        <v>198559651.90000001</v>
      </c>
      <c r="O6" s="801">
        <v>203150471.37</v>
      </c>
    </row>
    <row r="7" spans="1:15" ht="15.75" customHeight="1">
      <c r="A7" s="802" t="s">
        <v>644</v>
      </c>
      <c r="B7" s="804">
        <v>3000</v>
      </c>
      <c r="G7" s="149" t="s">
        <v>645</v>
      </c>
      <c r="H7" s="801">
        <v>78721421.700000003</v>
      </c>
      <c r="I7" s="801">
        <v>80627678.099999994</v>
      </c>
      <c r="J7" s="801">
        <v>83086366.760000005</v>
      </c>
      <c r="K7" s="801">
        <v>84520093.620000005</v>
      </c>
      <c r="L7" s="801">
        <v>85911120.459999993</v>
      </c>
      <c r="M7" s="801">
        <v>87987044.700000003</v>
      </c>
      <c r="N7" s="801">
        <v>89861175.530000001</v>
      </c>
      <c r="O7" s="801">
        <v>91738183.370000005</v>
      </c>
    </row>
    <row r="8" spans="1:15" ht="15.75" customHeight="1">
      <c r="A8" s="805" t="s">
        <v>646</v>
      </c>
      <c r="B8" s="806">
        <f>B7/B5</f>
        <v>0.36873156342182889</v>
      </c>
    </row>
    <row r="10" spans="1:15" ht="15.75" customHeight="1">
      <c r="A10" s="807" t="s">
        <v>647</v>
      </c>
      <c r="B10" s="808"/>
    </row>
    <row r="11" spans="1:15" ht="15.75" customHeight="1">
      <c r="A11" s="809" t="s">
        <v>648</v>
      </c>
      <c r="B11" s="810">
        <v>247</v>
      </c>
    </row>
    <row r="12" spans="1:15" ht="15.75" customHeight="1">
      <c r="A12" s="809" t="s">
        <v>649</v>
      </c>
      <c r="B12" s="811" t="s">
        <v>650</v>
      </c>
    </row>
    <row r="13" spans="1:15" ht="15.75" customHeight="1">
      <c r="A13" s="812"/>
      <c r="B13" s="813">
        <v>81047153</v>
      </c>
    </row>
    <row r="15" spans="1:15" ht="15.75" customHeight="1">
      <c r="B15" s="814">
        <f>B13/B7</f>
        <v>27015.717666666667</v>
      </c>
    </row>
  </sheetData>
  <phoneticPr fontId="86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I29"/>
  <sheetViews>
    <sheetView workbookViewId="0"/>
  </sheetViews>
  <sheetFormatPr defaultColWidth="14.42578125" defaultRowHeight="15.75" customHeight="1"/>
  <cols>
    <col min="1" max="1" width="16" customWidth="1"/>
    <col min="5" max="5" width="23.140625" customWidth="1"/>
    <col min="6" max="6" width="21.7109375" customWidth="1"/>
    <col min="7" max="7" width="18" customWidth="1"/>
    <col min="8" max="8" width="13.5703125" customWidth="1"/>
    <col min="9" max="9" width="19.85546875" customWidth="1"/>
  </cols>
  <sheetData>
    <row r="1" spans="1:9" ht="15.75" customHeight="1">
      <c r="A1" s="786" t="s">
        <v>651</v>
      </c>
      <c r="B1" s="787">
        <v>2024012016</v>
      </c>
      <c r="C1" s="815"/>
      <c r="D1" s="815"/>
      <c r="E1" s="815"/>
      <c r="F1" s="816"/>
      <c r="G1" s="816"/>
      <c r="H1" s="815"/>
      <c r="I1" s="149"/>
    </row>
    <row r="2" spans="1:9">
      <c r="A2" s="817" t="s">
        <v>652</v>
      </c>
      <c r="B2" s="815"/>
      <c r="C2" s="815"/>
      <c r="D2" s="815"/>
      <c r="E2" s="815"/>
      <c r="F2" s="816"/>
      <c r="G2" s="816"/>
      <c r="H2" s="815"/>
      <c r="I2" s="149"/>
    </row>
    <row r="3" spans="1:9" ht="15.75" customHeight="1">
      <c r="A3" s="818" t="s">
        <v>63</v>
      </c>
      <c r="B3" s="819" t="s">
        <v>653</v>
      </c>
      <c r="C3" s="819" t="s">
        <v>459</v>
      </c>
      <c r="D3" s="819" t="s">
        <v>654</v>
      </c>
      <c r="E3" s="819" t="s">
        <v>655</v>
      </c>
      <c r="F3" s="819" t="s">
        <v>656</v>
      </c>
      <c r="G3" s="819" t="s">
        <v>657</v>
      </c>
      <c r="H3" s="819" t="s">
        <v>658</v>
      </c>
      <c r="I3" s="819" t="s">
        <v>659</v>
      </c>
    </row>
    <row r="4" spans="1:9" ht="15.75" customHeight="1">
      <c r="A4" s="1004" t="s">
        <v>660</v>
      </c>
      <c r="B4" s="820">
        <v>785</v>
      </c>
      <c r="C4" s="820">
        <v>2025003027</v>
      </c>
      <c r="D4" s="820">
        <v>2024012027</v>
      </c>
      <c r="E4" s="820">
        <v>2</v>
      </c>
      <c r="F4" s="776">
        <v>1244</v>
      </c>
      <c r="G4" s="820"/>
      <c r="H4" s="820"/>
      <c r="I4" s="820"/>
    </row>
    <row r="5" spans="1:9" ht="15.75" customHeight="1">
      <c r="A5" s="865"/>
      <c r="B5" s="821">
        <v>9543</v>
      </c>
      <c r="C5" s="822">
        <v>2025004021</v>
      </c>
      <c r="D5" s="822">
        <v>2025001021</v>
      </c>
      <c r="E5" s="822">
        <v>5</v>
      </c>
      <c r="F5" s="822">
        <v>864</v>
      </c>
      <c r="G5" s="821">
        <v>1226</v>
      </c>
      <c r="H5" s="821">
        <v>1899</v>
      </c>
      <c r="I5" s="822">
        <v>369</v>
      </c>
    </row>
    <row r="6" spans="1:9" ht="15.75" customHeight="1">
      <c r="A6" s="866"/>
      <c r="B6" s="776">
        <v>3620</v>
      </c>
      <c r="C6" s="820">
        <v>2025009015</v>
      </c>
      <c r="D6" s="820">
        <v>2025006017</v>
      </c>
      <c r="E6" s="820">
        <v>26</v>
      </c>
      <c r="F6" s="820">
        <v>999</v>
      </c>
      <c r="G6" s="820"/>
      <c r="H6" s="820"/>
      <c r="I6" s="820"/>
    </row>
    <row r="7" spans="1:9" ht="15.75" customHeight="1">
      <c r="A7" s="1004" t="s">
        <v>661</v>
      </c>
      <c r="B7" s="820">
        <v>139</v>
      </c>
      <c r="C7" s="820">
        <v>2025005026</v>
      </c>
      <c r="D7" s="820">
        <v>2025002025</v>
      </c>
      <c r="E7" s="820">
        <v>10</v>
      </c>
      <c r="F7" s="820">
        <v>774</v>
      </c>
      <c r="G7" s="820"/>
      <c r="H7" s="820"/>
      <c r="I7" s="820"/>
    </row>
    <row r="8" spans="1:9" ht="15.75" customHeight="1">
      <c r="A8" s="865"/>
      <c r="B8" s="776">
        <v>10643</v>
      </c>
      <c r="C8" s="820">
        <v>2025007005</v>
      </c>
      <c r="D8" s="820">
        <v>2025004006</v>
      </c>
      <c r="E8" s="820">
        <v>16</v>
      </c>
      <c r="F8" s="820">
        <v>279</v>
      </c>
      <c r="G8" s="820"/>
      <c r="H8" s="820"/>
      <c r="I8" s="820"/>
    </row>
    <row r="9" spans="1:9" ht="15.75" customHeight="1">
      <c r="A9" s="866"/>
      <c r="B9" s="821">
        <v>15480</v>
      </c>
      <c r="C9" s="822">
        <v>2025007023</v>
      </c>
      <c r="D9" s="822">
        <v>2025004024</v>
      </c>
      <c r="E9" s="822">
        <v>18</v>
      </c>
      <c r="F9" s="822">
        <v>108</v>
      </c>
      <c r="G9" s="822"/>
      <c r="H9" s="822">
        <v>714</v>
      </c>
      <c r="I9" s="822">
        <v>39</v>
      </c>
    </row>
    <row r="10" spans="1:9" ht="15.75" customHeight="1">
      <c r="A10" s="1004" t="s">
        <v>662</v>
      </c>
      <c r="B10" s="776">
        <v>1207</v>
      </c>
      <c r="C10" s="820">
        <v>2025005018</v>
      </c>
      <c r="D10" s="820">
        <v>2025002017</v>
      </c>
      <c r="E10" s="820">
        <v>9</v>
      </c>
      <c r="F10" s="820">
        <v>99</v>
      </c>
      <c r="G10" s="820"/>
      <c r="H10" s="820"/>
      <c r="I10" s="820"/>
    </row>
    <row r="11" spans="1:9" ht="15.75" customHeight="1">
      <c r="A11" s="865"/>
      <c r="B11" s="821">
        <v>11086</v>
      </c>
      <c r="C11" s="822">
        <v>2025007012</v>
      </c>
      <c r="D11" s="822">
        <v>2025004013</v>
      </c>
      <c r="E11" s="822">
        <v>17</v>
      </c>
      <c r="F11" s="822">
        <v>46</v>
      </c>
      <c r="G11" s="821">
        <v>6772</v>
      </c>
      <c r="H11" s="821">
        <v>6648</v>
      </c>
      <c r="I11" s="822">
        <v>394</v>
      </c>
    </row>
    <row r="12" spans="1:9" ht="15.75" customHeight="1">
      <c r="A12" s="866"/>
      <c r="B12" s="820">
        <v>928</v>
      </c>
      <c r="C12" s="820">
        <v>2025008005</v>
      </c>
      <c r="D12" s="820">
        <v>2025005007</v>
      </c>
      <c r="E12" s="820">
        <v>20</v>
      </c>
      <c r="F12" s="820">
        <v>17</v>
      </c>
      <c r="G12" s="820"/>
      <c r="H12" s="820"/>
      <c r="I12" s="820"/>
    </row>
    <row r="13" spans="1:9" ht="15.75" customHeight="1">
      <c r="A13" s="1004" t="s">
        <v>663</v>
      </c>
      <c r="B13" s="776">
        <v>3419</v>
      </c>
      <c r="C13" s="820">
        <v>2026005017</v>
      </c>
      <c r="D13" s="820">
        <v>2026002016</v>
      </c>
      <c r="E13" s="820">
        <v>61</v>
      </c>
      <c r="F13" s="776">
        <v>1145</v>
      </c>
      <c r="G13" s="820"/>
      <c r="H13" s="820"/>
      <c r="I13" s="820"/>
    </row>
    <row r="14" spans="1:9" ht="15.75" customHeight="1">
      <c r="A14" s="865"/>
      <c r="B14" s="776">
        <v>10306</v>
      </c>
      <c r="C14" s="820">
        <v>2026006012</v>
      </c>
      <c r="D14" s="820">
        <v>2026003014</v>
      </c>
      <c r="E14" s="820">
        <v>65</v>
      </c>
      <c r="F14" s="776">
        <v>1145</v>
      </c>
      <c r="G14" s="820"/>
      <c r="H14" s="820"/>
      <c r="I14" s="820"/>
    </row>
    <row r="15" spans="1:9" ht="15.75" customHeight="1">
      <c r="A15" s="865"/>
      <c r="B15" s="776">
        <v>16896</v>
      </c>
      <c r="C15" s="820">
        <v>2026007015</v>
      </c>
      <c r="D15" s="820">
        <v>2026004016</v>
      </c>
      <c r="E15" s="820">
        <v>69</v>
      </c>
      <c r="F15" s="776">
        <v>1145</v>
      </c>
      <c r="G15" s="820"/>
      <c r="H15" s="820"/>
      <c r="I15" s="820"/>
    </row>
    <row r="16" spans="1:9" ht="15.75" customHeight="1">
      <c r="A16" s="866"/>
      <c r="B16" s="776">
        <v>16128</v>
      </c>
      <c r="C16" s="820">
        <v>2026009008</v>
      </c>
      <c r="D16" s="820">
        <v>2026006010</v>
      </c>
      <c r="E16" s="820">
        <v>77</v>
      </c>
      <c r="F16" s="776">
        <v>1145</v>
      </c>
      <c r="G16" s="820"/>
      <c r="H16" s="820"/>
      <c r="I16" s="820"/>
    </row>
    <row r="17" spans="1:9" ht="15.75" customHeight="1">
      <c r="A17" s="1004" t="s">
        <v>664</v>
      </c>
      <c r="B17" s="776">
        <v>8344</v>
      </c>
      <c r="C17" s="820">
        <v>2026005017</v>
      </c>
      <c r="D17" s="820">
        <v>2026002016</v>
      </c>
      <c r="E17" s="820">
        <v>61</v>
      </c>
      <c r="F17" s="820">
        <v>605</v>
      </c>
      <c r="G17" s="820"/>
      <c r="H17" s="820"/>
      <c r="I17" s="820"/>
    </row>
    <row r="18" spans="1:9" ht="15.75" customHeight="1">
      <c r="A18" s="866"/>
      <c r="B18" s="776">
        <v>17367</v>
      </c>
      <c r="C18" s="820">
        <v>2026007015</v>
      </c>
      <c r="D18" s="820">
        <v>2026004016</v>
      </c>
      <c r="E18" s="820">
        <v>69</v>
      </c>
      <c r="F18" s="820">
        <v>605</v>
      </c>
      <c r="G18" s="820"/>
      <c r="H18" s="820"/>
      <c r="I18" s="820"/>
    </row>
    <row r="19" spans="1:9" ht="15.75" customHeight="1">
      <c r="A19" s="1004" t="s">
        <v>665</v>
      </c>
      <c r="B19" s="776">
        <v>7897</v>
      </c>
      <c r="C19" s="820">
        <v>2026005016</v>
      </c>
      <c r="D19" s="820">
        <v>2026002015</v>
      </c>
      <c r="E19" s="820">
        <v>61</v>
      </c>
      <c r="F19" s="820">
        <v>177</v>
      </c>
      <c r="G19" s="820"/>
      <c r="H19" s="820"/>
      <c r="I19" s="820"/>
    </row>
    <row r="20" spans="1:9" ht="15.75" customHeight="1">
      <c r="A20" s="866"/>
      <c r="B20" s="776">
        <v>8380</v>
      </c>
      <c r="C20" s="820">
        <v>2026007015</v>
      </c>
      <c r="D20" s="820">
        <v>2026004016</v>
      </c>
      <c r="E20" s="820">
        <v>69</v>
      </c>
      <c r="F20" s="820">
        <v>177</v>
      </c>
      <c r="G20" s="820"/>
      <c r="H20" s="820"/>
      <c r="I20" s="820"/>
    </row>
    <row r="23" spans="1:9">
      <c r="A23" s="817" t="s">
        <v>666</v>
      </c>
    </row>
    <row r="24" spans="1:9" ht="15.75" customHeight="1">
      <c r="A24" s="640" t="s">
        <v>660</v>
      </c>
    </row>
    <row r="25" spans="1:9" ht="15.75" customHeight="1">
      <c r="A25" s="775" t="s">
        <v>661</v>
      </c>
    </row>
    <row r="26" spans="1:9" ht="15.75" customHeight="1">
      <c r="A26" s="775" t="s">
        <v>662</v>
      </c>
    </row>
    <row r="27" spans="1:9" ht="15.75" customHeight="1">
      <c r="A27" s="775" t="s">
        <v>663</v>
      </c>
    </row>
    <row r="28" spans="1:9" ht="15.75" customHeight="1">
      <c r="A28" s="775" t="s">
        <v>664</v>
      </c>
    </row>
    <row r="29" spans="1:9" ht="15.75" customHeight="1">
      <c r="A29" s="775" t="s">
        <v>665</v>
      </c>
    </row>
  </sheetData>
  <mergeCells count="6">
    <mergeCell ref="A19:A20"/>
    <mergeCell ref="A4:A6"/>
    <mergeCell ref="A7:A9"/>
    <mergeCell ref="A10:A12"/>
    <mergeCell ref="A13:A16"/>
    <mergeCell ref="A17:A18"/>
  </mergeCells>
  <phoneticPr fontId="8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S1000"/>
  <sheetViews>
    <sheetView topLeftCell="B1" workbookViewId="0"/>
  </sheetViews>
  <sheetFormatPr defaultColWidth="14.42578125" defaultRowHeight="15.75" customHeight="1"/>
  <cols>
    <col min="1" max="1" width="15.28515625" hidden="1" customWidth="1"/>
    <col min="2" max="2" width="13.85546875" customWidth="1"/>
    <col min="3" max="3" width="9.7109375" customWidth="1"/>
    <col min="4" max="4" width="16.28515625" customWidth="1"/>
    <col min="5" max="11" width="5.42578125" customWidth="1"/>
    <col min="12" max="14" width="7.140625" customWidth="1"/>
    <col min="15" max="21" width="5.42578125" customWidth="1"/>
    <col min="22" max="22" width="6.7109375" customWidth="1"/>
    <col min="23" max="24" width="7.140625" customWidth="1"/>
    <col min="25" max="31" width="5.42578125" customWidth="1"/>
    <col min="32" max="32" width="6.5703125" customWidth="1"/>
    <col min="33" max="34" width="7.140625" customWidth="1"/>
    <col min="35" max="41" width="5.42578125" customWidth="1"/>
    <col min="42" max="42" width="6.7109375" customWidth="1"/>
    <col min="43" max="44" width="7.140625" customWidth="1"/>
    <col min="45" max="45" width="8.7109375" customWidth="1"/>
  </cols>
  <sheetData>
    <row r="1" spans="1:45" ht="16.5" customHeight="1">
      <c r="A1" s="823"/>
      <c r="B1" s="823"/>
      <c r="C1" s="824"/>
      <c r="D1" s="823"/>
      <c r="E1" s="825">
        <v>1</v>
      </c>
      <c r="F1" s="825">
        <v>2</v>
      </c>
      <c r="G1" s="825">
        <v>3</v>
      </c>
      <c r="H1" s="825">
        <v>4</v>
      </c>
      <c r="I1" s="825">
        <v>5</v>
      </c>
      <c r="J1" s="825">
        <v>6</v>
      </c>
      <c r="K1" s="826">
        <v>7</v>
      </c>
      <c r="L1" s="827" t="s">
        <v>667</v>
      </c>
      <c r="M1" s="828" t="s">
        <v>38</v>
      </c>
      <c r="N1" s="828" t="s">
        <v>668</v>
      </c>
      <c r="O1" s="829">
        <v>8</v>
      </c>
      <c r="P1" s="825">
        <v>9</v>
      </c>
      <c r="Q1" s="825">
        <v>10</v>
      </c>
      <c r="R1" s="825">
        <v>11</v>
      </c>
      <c r="S1" s="825">
        <v>12</v>
      </c>
      <c r="T1" s="825">
        <v>13</v>
      </c>
      <c r="U1" s="826">
        <v>14</v>
      </c>
      <c r="V1" s="828" t="s">
        <v>669</v>
      </c>
      <c r="W1" s="828" t="s">
        <v>38</v>
      </c>
      <c r="X1" s="828" t="s">
        <v>668</v>
      </c>
      <c r="Y1" s="825">
        <v>15</v>
      </c>
      <c r="Z1" s="825">
        <v>16</v>
      </c>
      <c r="AA1" s="825">
        <v>17</v>
      </c>
      <c r="AB1" s="825">
        <v>18</v>
      </c>
      <c r="AC1" s="825">
        <v>19</v>
      </c>
      <c r="AD1" s="825">
        <v>20</v>
      </c>
      <c r="AE1" s="826">
        <v>21</v>
      </c>
      <c r="AF1" s="828" t="s">
        <v>670</v>
      </c>
      <c r="AG1" s="828" t="s">
        <v>38</v>
      </c>
      <c r="AH1" s="828" t="s">
        <v>668</v>
      </c>
      <c r="AI1" s="825">
        <v>22</v>
      </c>
      <c r="AJ1" s="825">
        <v>23</v>
      </c>
      <c r="AK1" s="825">
        <v>24</v>
      </c>
      <c r="AL1" s="825">
        <v>25</v>
      </c>
      <c r="AM1" s="825">
        <v>26</v>
      </c>
      <c r="AN1" s="825">
        <v>27</v>
      </c>
      <c r="AO1" s="826">
        <v>28</v>
      </c>
      <c r="AP1" s="828" t="s">
        <v>671</v>
      </c>
      <c r="AQ1" s="828" t="s">
        <v>38</v>
      </c>
      <c r="AR1" s="828" t="s">
        <v>668</v>
      </c>
      <c r="AS1" s="830"/>
    </row>
    <row r="2" spans="1:45" ht="16.5" customHeight="1">
      <c r="A2" s="1005" t="s">
        <v>38</v>
      </c>
      <c r="B2" s="1005" t="s">
        <v>38</v>
      </c>
      <c r="C2" s="1009"/>
      <c r="D2" s="823" t="s">
        <v>660</v>
      </c>
      <c r="E2" s="831">
        <f t="shared" ref="E2:L2" si="0">SUMIF($D$8:$D$53,$D2,E$8:E$53)-E42</f>
        <v>176</v>
      </c>
      <c r="F2" s="831">
        <f t="shared" si="0"/>
        <v>186</v>
      </c>
      <c r="G2" s="831">
        <f t="shared" si="0"/>
        <v>179</v>
      </c>
      <c r="H2" s="831">
        <f t="shared" si="0"/>
        <v>193</v>
      </c>
      <c r="I2" s="831">
        <f t="shared" si="0"/>
        <v>143</v>
      </c>
      <c r="J2" s="831">
        <f t="shared" si="0"/>
        <v>153</v>
      </c>
      <c r="K2" s="831">
        <f t="shared" si="0"/>
        <v>188</v>
      </c>
      <c r="L2" s="832">
        <f t="shared" si="0"/>
        <v>1218</v>
      </c>
      <c r="M2" s="833">
        <v>2034</v>
      </c>
      <c r="N2" s="833">
        <f t="shared" ref="N2:N7" si="1">M2-L2</f>
        <v>816</v>
      </c>
      <c r="O2" s="834">
        <f t="shared" ref="O2:V2" si="2">SUMIF($D$8:$D$53,$D2,O$8:O$53)-O42</f>
        <v>143</v>
      </c>
      <c r="P2" s="831">
        <f t="shared" si="2"/>
        <v>167</v>
      </c>
      <c r="Q2" s="831">
        <f t="shared" si="2"/>
        <v>149</v>
      </c>
      <c r="R2" s="831">
        <f t="shared" si="2"/>
        <v>184</v>
      </c>
      <c r="S2" s="831">
        <f t="shared" si="2"/>
        <v>150</v>
      </c>
      <c r="T2" s="831">
        <f t="shared" si="2"/>
        <v>125</v>
      </c>
      <c r="U2" s="831">
        <f t="shared" si="2"/>
        <v>176</v>
      </c>
      <c r="V2" s="833">
        <f t="shared" si="2"/>
        <v>1094</v>
      </c>
      <c r="W2" s="833">
        <v>2114</v>
      </c>
      <c r="X2" s="833">
        <f t="shared" ref="X2:X7" si="3">W2-V2</f>
        <v>1020</v>
      </c>
      <c r="Y2" s="831">
        <f t="shared" ref="Y2:AF2" si="4">SUMIF($D$8:$D$53,$D2,Y$8:Y$53)-Y42</f>
        <v>172</v>
      </c>
      <c r="Z2" s="831">
        <f t="shared" si="4"/>
        <v>179</v>
      </c>
      <c r="AA2" s="831">
        <f t="shared" si="4"/>
        <v>161</v>
      </c>
      <c r="AB2" s="831">
        <f t="shared" si="4"/>
        <v>190</v>
      </c>
      <c r="AC2" s="831">
        <f t="shared" si="4"/>
        <v>187</v>
      </c>
      <c r="AD2" s="831">
        <f t="shared" si="4"/>
        <v>209</v>
      </c>
      <c r="AE2" s="831">
        <f t="shared" si="4"/>
        <v>172</v>
      </c>
      <c r="AF2" s="833">
        <f t="shared" si="4"/>
        <v>1270</v>
      </c>
      <c r="AG2" s="833">
        <v>2443</v>
      </c>
      <c r="AH2" s="833">
        <f t="shared" ref="AH2:AH7" si="5">AG2-AF2</f>
        <v>1173</v>
      </c>
      <c r="AI2" s="831">
        <f t="shared" ref="AI2:AP2" si="6">SUMIF($D$8:$D$53,$D2,AI$8:AI$53)-AI42</f>
        <v>136</v>
      </c>
      <c r="AJ2" s="831">
        <f t="shared" si="6"/>
        <v>159</v>
      </c>
      <c r="AK2" s="831">
        <f t="shared" si="6"/>
        <v>195</v>
      </c>
      <c r="AL2" s="831">
        <f t="shared" si="6"/>
        <v>179</v>
      </c>
      <c r="AM2" s="831">
        <f t="shared" si="6"/>
        <v>197</v>
      </c>
      <c r="AN2" s="831">
        <f t="shared" si="6"/>
        <v>128</v>
      </c>
      <c r="AO2" s="831">
        <f t="shared" si="6"/>
        <v>185</v>
      </c>
      <c r="AP2" s="833">
        <f t="shared" si="6"/>
        <v>1179</v>
      </c>
      <c r="AQ2" s="833">
        <v>2206</v>
      </c>
      <c r="AR2" s="833">
        <f t="shared" ref="AR2:AR7" si="7">AQ2-AP2</f>
        <v>1027</v>
      </c>
      <c r="AS2" s="830"/>
    </row>
    <row r="3" spans="1:45" ht="16.5" customHeight="1">
      <c r="A3" s="865"/>
      <c r="B3" s="865"/>
      <c r="C3" s="865"/>
      <c r="D3" s="823" t="s">
        <v>661</v>
      </c>
      <c r="E3" s="831">
        <f t="shared" ref="E3:L3" si="8">SUMIF($D$8:$D$53,$D3,E$8:E$53)-E43</f>
        <v>221</v>
      </c>
      <c r="F3" s="831">
        <f t="shared" si="8"/>
        <v>192</v>
      </c>
      <c r="G3" s="831">
        <f t="shared" si="8"/>
        <v>187</v>
      </c>
      <c r="H3" s="831">
        <f t="shared" si="8"/>
        <v>188</v>
      </c>
      <c r="I3" s="831">
        <f t="shared" si="8"/>
        <v>169</v>
      </c>
      <c r="J3" s="831">
        <f t="shared" si="8"/>
        <v>196</v>
      </c>
      <c r="K3" s="831">
        <f t="shared" si="8"/>
        <v>160</v>
      </c>
      <c r="L3" s="832">
        <f t="shared" si="8"/>
        <v>1313</v>
      </c>
      <c r="M3" s="833">
        <v>1823</v>
      </c>
      <c r="N3" s="833">
        <f t="shared" si="1"/>
        <v>510</v>
      </c>
      <c r="O3" s="834">
        <f t="shared" ref="O3:V3" si="9">SUMIF($D$8:$D$53,$D3,O$8:O$53)-O43</f>
        <v>184</v>
      </c>
      <c r="P3" s="831">
        <f t="shared" si="9"/>
        <v>196</v>
      </c>
      <c r="Q3" s="831">
        <f t="shared" si="9"/>
        <v>194</v>
      </c>
      <c r="R3" s="831">
        <f t="shared" si="9"/>
        <v>233</v>
      </c>
      <c r="S3" s="831">
        <f t="shared" si="9"/>
        <v>162</v>
      </c>
      <c r="T3" s="831">
        <f t="shared" si="9"/>
        <v>202</v>
      </c>
      <c r="U3" s="831">
        <f t="shared" si="9"/>
        <v>166</v>
      </c>
      <c r="V3" s="833">
        <f t="shared" si="9"/>
        <v>1337</v>
      </c>
      <c r="W3" s="833">
        <v>2064</v>
      </c>
      <c r="X3" s="833">
        <f t="shared" si="3"/>
        <v>727</v>
      </c>
      <c r="Y3" s="831">
        <f t="shared" ref="Y3:AF3" si="10">SUMIF($D$8:$D$53,$D3,Y$8:Y$53)-Y43</f>
        <v>167</v>
      </c>
      <c r="Z3" s="831">
        <f t="shared" si="10"/>
        <v>155</v>
      </c>
      <c r="AA3" s="831">
        <f t="shared" si="10"/>
        <v>182</v>
      </c>
      <c r="AB3" s="831">
        <f t="shared" si="10"/>
        <v>173</v>
      </c>
      <c r="AC3" s="831">
        <f t="shared" si="10"/>
        <v>174</v>
      </c>
      <c r="AD3" s="831">
        <f t="shared" si="10"/>
        <v>126</v>
      </c>
      <c r="AE3" s="831">
        <f t="shared" si="10"/>
        <v>179</v>
      </c>
      <c r="AF3" s="833">
        <f t="shared" si="10"/>
        <v>1156</v>
      </c>
      <c r="AG3" s="833">
        <v>1996</v>
      </c>
      <c r="AH3" s="833">
        <f t="shared" si="5"/>
        <v>840</v>
      </c>
      <c r="AI3" s="831">
        <f t="shared" ref="AI3:AP3" si="11">SUMIF($D$8:$D$53,$D3,AI$8:AI$53)-AI43</f>
        <v>180</v>
      </c>
      <c r="AJ3" s="831">
        <f t="shared" si="11"/>
        <v>173</v>
      </c>
      <c r="AK3" s="831">
        <f t="shared" si="11"/>
        <v>184</v>
      </c>
      <c r="AL3" s="831">
        <f t="shared" si="11"/>
        <v>169</v>
      </c>
      <c r="AM3" s="831">
        <f t="shared" si="11"/>
        <v>213</v>
      </c>
      <c r="AN3" s="831">
        <f t="shared" si="11"/>
        <v>171</v>
      </c>
      <c r="AO3" s="831">
        <f t="shared" si="11"/>
        <v>195</v>
      </c>
      <c r="AP3" s="833">
        <f t="shared" si="11"/>
        <v>1285</v>
      </c>
      <c r="AQ3" s="833">
        <v>1852</v>
      </c>
      <c r="AR3" s="833">
        <f t="shared" si="7"/>
        <v>567</v>
      </c>
      <c r="AS3" s="830"/>
    </row>
    <row r="4" spans="1:45" ht="16.5" customHeight="1">
      <c r="A4" s="865"/>
      <c r="B4" s="865"/>
      <c r="C4" s="865"/>
      <c r="D4" s="823" t="s">
        <v>662</v>
      </c>
      <c r="E4" s="831">
        <f t="shared" ref="E4:L4" si="12">SUMIF($D$8:$D$53,$D4,E$8:E$53)-E44</f>
        <v>119</v>
      </c>
      <c r="F4" s="831">
        <f t="shared" si="12"/>
        <v>81</v>
      </c>
      <c r="G4" s="831">
        <f t="shared" si="12"/>
        <v>83</v>
      </c>
      <c r="H4" s="831">
        <f t="shared" si="12"/>
        <v>97</v>
      </c>
      <c r="I4" s="831">
        <f t="shared" si="12"/>
        <v>100</v>
      </c>
      <c r="J4" s="831">
        <f t="shared" si="12"/>
        <v>103</v>
      </c>
      <c r="K4" s="831">
        <f t="shared" si="12"/>
        <v>87</v>
      </c>
      <c r="L4" s="832">
        <f t="shared" si="12"/>
        <v>670</v>
      </c>
      <c r="M4" s="833">
        <v>765</v>
      </c>
      <c r="N4" s="833">
        <f t="shared" si="1"/>
        <v>95</v>
      </c>
      <c r="O4" s="834">
        <f t="shared" ref="O4:V4" si="13">SUMIF($D$8:$D$53,$D4,O$8:O$53)-O44</f>
        <v>72</v>
      </c>
      <c r="P4" s="831">
        <f t="shared" si="13"/>
        <v>78</v>
      </c>
      <c r="Q4" s="831">
        <f t="shared" si="13"/>
        <v>79</v>
      </c>
      <c r="R4" s="831">
        <f t="shared" si="13"/>
        <v>115</v>
      </c>
      <c r="S4" s="831">
        <f t="shared" si="13"/>
        <v>74</v>
      </c>
      <c r="T4" s="831">
        <f t="shared" si="13"/>
        <v>88</v>
      </c>
      <c r="U4" s="831">
        <f t="shared" si="13"/>
        <v>72</v>
      </c>
      <c r="V4" s="833">
        <f t="shared" si="13"/>
        <v>578</v>
      </c>
      <c r="W4" s="833">
        <v>681</v>
      </c>
      <c r="X4" s="833">
        <f t="shared" si="3"/>
        <v>103</v>
      </c>
      <c r="Y4" s="831">
        <f t="shared" ref="Y4:AF4" si="14">SUMIF($D$8:$D$53,$D4,Y$8:Y$53)-Y44</f>
        <v>96</v>
      </c>
      <c r="Z4" s="831">
        <f t="shared" si="14"/>
        <v>86</v>
      </c>
      <c r="AA4" s="831">
        <f t="shared" si="14"/>
        <v>66</v>
      </c>
      <c r="AB4" s="831">
        <f t="shared" si="14"/>
        <v>130</v>
      </c>
      <c r="AC4" s="831">
        <f t="shared" si="14"/>
        <v>89</v>
      </c>
      <c r="AD4" s="831">
        <f t="shared" si="14"/>
        <v>99</v>
      </c>
      <c r="AE4" s="831">
        <f t="shared" si="14"/>
        <v>118</v>
      </c>
      <c r="AF4" s="833">
        <f t="shared" si="14"/>
        <v>684</v>
      </c>
      <c r="AG4" s="833">
        <v>789</v>
      </c>
      <c r="AH4" s="833">
        <f t="shared" si="5"/>
        <v>105</v>
      </c>
      <c r="AI4" s="831">
        <f t="shared" ref="AI4:AP4" si="15">SUMIF($D$8:$D$53,$D4,AI$8:AI$53)-AI44</f>
        <v>82</v>
      </c>
      <c r="AJ4" s="831">
        <f t="shared" si="15"/>
        <v>60</v>
      </c>
      <c r="AK4" s="831">
        <f t="shared" si="15"/>
        <v>86</v>
      </c>
      <c r="AL4" s="831">
        <f t="shared" si="15"/>
        <v>90</v>
      </c>
      <c r="AM4" s="831">
        <f t="shared" si="15"/>
        <v>90</v>
      </c>
      <c r="AN4" s="831">
        <f t="shared" si="15"/>
        <v>63</v>
      </c>
      <c r="AO4" s="831">
        <f t="shared" si="15"/>
        <v>72</v>
      </c>
      <c r="AP4" s="833">
        <f t="shared" si="15"/>
        <v>543</v>
      </c>
      <c r="AQ4" s="833">
        <v>642</v>
      </c>
      <c r="AR4" s="833">
        <f t="shared" si="7"/>
        <v>99</v>
      </c>
      <c r="AS4" s="830"/>
    </row>
    <row r="5" spans="1:45" ht="16.5" customHeight="1">
      <c r="A5" s="865"/>
      <c r="B5" s="865"/>
      <c r="C5" s="865"/>
      <c r="D5" s="823" t="s">
        <v>663</v>
      </c>
      <c r="E5" s="831">
        <f t="shared" ref="E5:L5" si="16">SUMIF($D$8:$D$53,$D5,E$8:E$53)-E45</f>
        <v>253</v>
      </c>
      <c r="F5" s="831">
        <f t="shared" si="16"/>
        <v>241</v>
      </c>
      <c r="G5" s="831">
        <f t="shared" si="16"/>
        <v>297</v>
      </c>
      <c r="H5" s="831">
        <f t="shared" si="16"/>
        <v>221</v>
      </c>
      <c r="I5" s="831">
        <f t="shared" si="16"/>
        <v>219</v>
      </c>
      <c r="J5" s="831">
        <f t="shared" si="16"/>
        <v>236</v>
      </c>
      <c r="K5" s="831">
        <f t="shared" si="16"/>
        <v>192</v>
      </c>
      <c r="L5" s="832">
        <f t="shared" si="16"/>
        <v>1659</v>
      </c>
      <c r="M5" s="833">
        <v>2665</v>
      </c>
      <c r="N5" s="833">
        <f t="shared" si="1"/>
        <v>1006</v>
      </c>
      <c r="O5" s="834">
        <f t="shared" ref="O5:V5" si="17">SUMIF($D$8:$D$53,$D5,O$8:O$53)-O45</f>
        <v>192</v>
      </c>
      <c r="P5" s="831">
        <f t="shared" si="17"/>
        <v>253</v>
      </c>
      <c r="Q5" s="831">
        <f t="shared" si="17"/>
        <v>240</v>
      </c>
      <c r="R5" s="831">
        <f t="shared" si="17"/>
        <v>289</v>
      </c>
      <c r="S5" s="831">
        <f t="shared" si="17"/>
        <v>188</v>
      </c>
      <c r="T5" s="831">
        <f t="shared" si="17"/>
        <v>245</v>
      </c>
      <c r="U5" s="831">
        <f t="shared" si="17"/>
        <v>228</v>
      </c>
      <c r="V5" s="833">
        <f t="shared" si="17"/>
        <v>1635</v>
      </c>
      <c r="W5" s="833">
        <v>2639</v>
      </c>
      <c r="X5" s="833">
        <f t="shared" si="3"/>
        <v>1004</v>
      </c>
      <c r="Y5" s="831">
        <f t="shared" ref="Y5:AF5" si="18">SUMIF($D$8:$D$53,$D5,Y$8:Y$53)-Y45</f>
        <v>267</v>
      </c>
      <c r="Z5" s="831">
        <f t="shared" si="18"/>
        <v>194</v>
      </c>
      <c r="AA5" s="831">
        <f t="shared" si="18"/>
        <v>276</v>
      </c>
      <c r="AB5" s="831">
        <f t="shared" si="18"/>
        <v>335</v>
      </c>
      <c r="AC5" s="831">
        <f t="shared" si="18"/>
        <v>227</v>
      </c>
      <c r="AD5" s="831">
        <f t="shared" si="18"/>
        <v>228</v>
      </c>
      <c r="AE5" s="831">
        <f t="shared" si="18"/>
        <v>196</v>
      </c>
      <c r="AF5" s="833">
        <f t="shared" si="18"/>
        <v>1723</v>
      </c>
      <c r="AG5" s="833">
        <v>2770</v>
      </c>
      <c r="AH5" s="833">
        <f t="shared" si="5"/>
        <v>1047</v>
      </c>
      <c r="AI5" s="831">
        <f t="shared" ref="AI5:AP5" si="19">SUMIF($D$8:$D$53,$D5,AI$8:AI$53)-AI45</f>
        <v>224</v>
      </c>
      <c r="AJ5" s="831">
        <f t="shared" si="19"/>
        <v>218</v>
      </c>
      <c r="AK5" s="831">
        <f t="shared" si="19"/>
        <v>195</v>
      </c>
      <c r="AL5" s="831">
        <f t="shared" si="19"/>
        <v>224</v>
      </c>
      <c r="AM5" s="831">
        <f t="shared" si="19"/>
        <v>243</v>
      </c>
      <c r="AN5" s="831">
        <f t="shared" si="19"/>
        <v>177</v>
      </c>
      <c r="AO5" s="831">
        <f t="shared" si="19"/>
        <v>207</v>
      </c>
      <c r="AP5" s="833">
        <f t="shared" si="19"/>
        <v>1488</v>
      </c>
      <c r="AQ5" s="833">
        <v>2354</v>
      </c>
      <c r="AR5" s="833">
        <f t="shared" si="7"/>
        <v>866</v>
      </c>
      <c r="AS5" s="830"/>
    </row>
    <row r="6" spans="1:45" ht="16.5" customHeight="1">
      <c r="A6" s="865"/>
      <c r="B6" s="865"/>
      <c r="C6" s="865"/>
      <c r="D6" s="823" t="s">
        <v>664</v>
      </c>
      <c r="E6" s="831">
        <f t="shared" ref="E6:L6" si="20">SUMIF($D$8:$D$53,$D6,E$8:E$53)-E46</f>
        <v>288</v>
      </c>
      <c r="F6" s="831">
        <f t="shared" si="20"/>
        <v>218</v>
      </c>
      <c r="G6" s="831">
        <f t="shared" si="20"/>
        <v>233</v>
      </c>
      <c r="H6" s="831">
        <f t="shared" si="20"/>
        <v>223</v>
      </c>
      <c r="I6" s="831">
        <f t="shared" si="20"/>
        <v>214</v>
      </c>
      <c r="J6" s="831">
        <f t="shared" si="20"/>
        <v>205</v>
      </c>
      <c r="K6" s="831">
        <f t="shared" si="20"/>
        <v>270</v>
      </c>
      <c r="L6" s="832">
        <f t="shared" si="20"/>
        <v>1651</v>
      </c>
      <c r="M6" s="833">
        <v>2324</v>
      </c>
      <c r="N6" s="833">
        <f t="shared" si="1"/>
        <v>673</v>
      </c>
      <c r="O6" s="834">
        <f t="shared" ref="O6:V6" si="21">SUMIF($D$8:$D$53,$D6,O$8:O$53)-O46</f>
        <v>252</v>
      </c>
      <c r="P6" s="831">
        <f t="shared" si="21"/>
        <v>226</v>
      </c>
      <c r="Q6" s="831">
        <f t="shared" si="21"/>
        <v>233</v>
      </c>
      <c r="R6" s="831">
        <f t="shared" si="21"/>
        <v>432</v>
      </c>
      <c r="S6" s="831">
        <f t="shared" si="21"/>
        <v>215</v>
      </c>
      <c r="T6" s="831">
        <f t="shared" si="21"/>
        <v>258</v>
      </c>
      <c r="U6" s="831">
        <f t="shared" si="21"/>
        <v>255</v>
      </c>
      <c r="V6" s="833">
        <f t="shared" si="21"/>
        <v>1871</v>
      </c>
      <c r="W6" s="833">
        <v>2553</v>
      </c>
      <c r="X6" s="833">
        <f t="shared" si="3"/>
        <v>682</v>
      </c>
      <c r="Y6" s="831">
        <f t="shared" ref="Y6:AF6" si="22">SUMIF($D$8:$D$53,$D6,Y$8:Y$53)-Y46</f>
        <v>217</v>
      </c>
      <c r="Z6" s="831">
        <f t="shared" si="22"/>
        <v>241</v>
      </c>
      <c r="AA6" s="831">
        <f t="shared" si="22"/>
        <v>211</v>
      </c>
      <c r="AB6" s="831">
        <f t="shared" si="22"/>
        <v>284</v>
      </c>
      <c r="AC6" s="831">
        <f t="shared" si="22"/>
        <v>229</v>
      </c>
      <c r="AD6" s="831">
        <f t="shared" si="22"/>
        <v>234</v>
      </c>
      <c r="AE6" s="831">
        <f t="shared" si="22"/>
        <v>268</v>
      </c>
      <c r="AF6" s="833">
        <f t="shared" si="22"/>
        <v>1684</v>
      </c>
      <c r="AG6" s="833">
        <v>2408</v>
      </c>
      <c r="AH6" s="833">
        <f t="shared" si="5"/>
        <v>724</v>
      </c>
      <c r="AI6" s="831">
        <f t="shared" ref="AI6:AP6" si="23">SUMIF($D$8:$D$53,$D6,AI$8:AI$53)-AI46</f>
        <v>231</v>
      </c>
      <c r="AJ6" s="831">
        <f t="shared" si="23"/>
        <v>235</v>
      </c>
      <c r="AK6" s="831">
        <f t="shared" si="23"/>
        <v>214</v>
      </c>
      <c r="AL6" s="831">
        <f t="shared" si="23"/>
        <v>248</v>
      </c>
      <c r="AM6" s="831">
        <f t="shared" si="23"/>
        <v>271</v>
      </c>
      <c r="AN6" s="831">
        <f t="shared" si="23"/>
        <v>200</v>
      </c>
      <c r="AO6" s="831">
        <f t="shared" si="23"/>
        <v>264</v>
      </c>
      <c r="AP6" s="833">
        <f t="shared" si="23"/>
        <v>1663</v>
      </c>
      <c r="AQ6" s="833">
        <v>2297</v>
      </c>
      <c r="AR6" s="833">
        <f t="shared" si="7"/>
        <v>634</v>
      </c>
      <c r="AS6" s="830"/>
    </row>
    <row r="7" spans="1:45" ht="16.5" customHeight="1">
      <c r="A7" s="866"/>
      <c r="B7" s="1006"/>
      <c r="C7" s="1006"/>
      <c r="D7" s="835" t="s">
        <v>665</v>
      </c>
      <c r="E7" s="836">
        <f t="shared" ref="E7:L7" si="24">SUMIF($D$8:$D$53,$D7,E$8:E$53)-E47</f>
        <v>122</v>
      </c>
      <c r="F7" s="836">
        <f t="shared" si="24"/>
        <v>134</v>
      </c>
      <c r="G7" s="836">
        <f t="shared" si="24"/>
        <v>100</v>
      </c>
      <c r="H7" s="836">
        <f t="shared" si="24"/>
        <v>108</v>
      </c>
      <c r="I7" s="836">
        <f t="shared" si="24"/>
        <v>106</v>
      </c>
      <c r="J7" s="836">
        <f t="shared" si="24"/>
        <v>91</v>
      </c>
      <c r="K7" s="836">
        <f t="shared" si="24"/>
        <v>106</v>
      </c>
      <c r="L7" s="837">
        <f t="shared" si="24"/>
        <v>767</v>
      </c>
      <c r="M7" s="838">
        <v>908</v>
      </c>
      <c r="N7" s="838">
        <f t="shared" si="1"/>
        <v>141</v>
      </c>
      <c r="O7" s="839">
        <f t="shared" ref="O7:V7" si="25">SUMIF($D$8:$D$53,$D7,O$8:O$53)-O47</f>
        <v>69</v>
      </c>
      <c r="P7" s="836">
        <f t="shared" si="25"/>
        <v>77</v>
      </c>
      <c r="Q7" s="836">
        <f t="shared" si="25"/>
        <v>117</v>
      </c>
      <c r="R7" s="836">
        <f t="shared" si="25"/>
        <v>191</v>
      </c>
      <c r="S7" s="836">
        <f t="shared" si="25"/>
        <v>120</v>
      </c>
      <c r="T7" s="836">
        <f t="shared" si="25"/>
        <v>58</v>
      </c>
      <c r="U7" s="836">
        <f t="shared" si="25"/>
        <v>127</v>
      </c>
      <c r="V7" s="838">
        <f t="shared" si="25"/>
        <v>759</v>
      </c>
      <c r="W7" s="838">
        <v>933</v>
      </c>
      <c r="X7" s="838">
        <f t="shared" si="3"/>
        <v>174</v>
      </c>
      <c r="Y7" s="836">
        <f t="shared" ref="Y7:AF7" si="26">SUMIF($D$8:$D$53,$D7,Y$8:Y$53)-Y47</f>
        <v>94</v>
      </c>
      <c r="Z7" s="836">
        <f t="shared" si="26"/>
        <v>82</v>
      </c>
      <c r="AA7" s="836">
        <f t="shared" si="26"/>
        <v>86</v>
      </c>
      <c r="AB7" s="836">
        <f t="shared" si="26"/>
        <v>98</v>
      </c>
      <c r="AC7" s="836">
        <f t="shared" si="26"/>
        <v>106</v>
      </c>
      <c r="AD7" s="836">
        <f t="shared" si="26"/>
        <v>101</v>
      </c>
      <c r="AE7" s="836">
        <f t="shared" si="26"/>
        <v>104</v>
      </c>
      <c r="AF7" s="838">
        <f t="shared" si="26"/>
        <v>671</v>
      </c>
      <c r="AG7" s="838">
        <v>822</v>
      </c>
      <c r="AH7" s="838">
        <f t="shared" si="5"/>
        <v>151</v>
      </c>
      <c r="AI7" s="836">
        <f t="shared" ref="AI7:AP7" si="27">SUMIF($D$8:$D$53,$D7,AI$8:AI$53)-AI47</f>
        <v>97</v>
      </c>
      <c r="AJ7" s="836">
        <f t="shared" si="27"/>
        <v>102</v>
      </c>
      <c r="AK7" s="836">
        <f t="shared" si="27"/>
        <v>92</v>
      </c>
      <c r="AL7" s="836">
        <f t="shared" si="27"/>
        <v>86</v>
      </c>
      <c r="AM7" s="836">
        <f t="shared" si="27"/>
        <v>104</v>
      </c>
      <c r="AN7" s="836">
        <f t="shared" si="27"/>
        <v>93</v>
      </c>
      <c r="AO7" s="836">
        <f t="shared" si="27"/>
        <v>126</v>
      </c>
      <c r="AP7" s="838">
        <f t="shared" si="27"/>
        <v>700</v>
      </c>
      <c r="AQ7" s="838">
        <v>842</v>
      </c>
      <c r="AR7" s="838">
        <f t="shared" si="7"/>
        <v>142</v>
      </c>
      <c r="AS7" s="830"/>
    </row>
    <row r="8" spans="1:45" ht="16.5" customHeight="1">
      <c r="A8" s="840" t="s">
        <v>485</v>
      </c>
      <c r="B8" s="1005" t="s">
        <v>485</v>
      </c>
      <c r="C8" s="841">
        <v>2025003027</v>
      </c>
      <c r="D8" s="823" t="s">
        <v>660</v>
      </c>
      <c r="E8" s="831">
        <v>127</v>
      </c>
      <c r="F8" s="831">
        <v>137</v>
      </c>
      <c r="G8" s="831">
        <v>131</v>
      </c>
      <c r="H8" s="831">
        <v>127</v>
      </c>
      <c r="I8" s="831">
        <v>99</v>
      </c>
      <c r="J8" s="831">
        <v>111</v>
      </c>
      <c r="K8" s="842">
        <v>158</v>
      </c>
      <c r="L8" s="832">
        <f t="shared" ref="L8:L41" si="28">SUM(E8:K8)</f>
        <v>890</v>
      </c>
      <c r="M8" s="833"/>
      <c r="N8" s="843"/>
      <c r="O8" s="834">
        <v>98</v>
      </c>
      <c r="P8" s="831">
        <v>127</v>
      </c>
      <c r="Q8" s="831">
        <v>119</v>
      </c>
      <c r="R8" s="831">
        <v>135</v>
      </c>
      <c r="S8" s="831">
        <v>99</v>
      </c>
      <c r="T8" s="831">
        <v>104</v>
      </c>
      <c r="U8" s="842">
        <v>119</v>
      </c>
      <c r="V8" s="833">
        <f t="shared" ref="V8:V41" si="29">SUM(O8:U8)</f>
        <v>801</v>
      </c>
      <c r="W8" s="833"/>
      <c r="X8" s="833"/>
      <c r="Y8" s="834">
        <v>0</v>
      </c>
      <c r="Z8" s="831">
        <v>0</v>
      </c>
      <c r="AA8" s="831">
        <v>0</v>
      </c>
      <c r="AB8" s="831">
        <v>0</v>
      </c>
      <c r="AC8" s="831">
        <v>0</v>
      </c>
      <c r="AD8" s="831">
        <v>0</v>
      </c>
      <c r="AE8" s="842">
        <v>0</v>
      </c>
      <c r="AF8" s="833">
        <f t="shared" ref="AF8:AF41" si="30">SUM(Y8:AE8)</f>
        <v>0</v>
      </c>
      <c r="AG8" s="833"/>
      <c r="AH8" s="833"/>
      <c r="AI8" s="834">
        <v>0</v>
      </c>
      <c r="AJ8" s="831">
        <v>0</v>
      </c>
      <c r="AK8" s="831">
        <v>0</v>
      </c>
      <c r="AL8" s="831">
        <v>0</v>
      </c>
      <c r="AM8" s="831">
        <v>0</v>
      </c>
      <c r="AN8" s="831">
        <v>0</v>
      </c>
      <c r="AO8" s="842">
        <v>0</v>
      </c>
      <c r="AP8" s="833">
        <f t="shared" ref="AP8:AP41" si="31">SUM(AI8:AO8)</f>
        <v>0</v>
      </c>
      <c r="AQ8" s="833"/>
      <c r="AR8" s="833"/>
      <c r="AS8" s="844"/>
    </row>
    <row r="9" spans="1:45" ht="16.5" customHeight="1">
      <c r="A9" s="845" t="str">
        <f t="shared" ref="A9:A14" si="32">A8</f>
        <v>쿠팡</v>
      </c>
      <c r="B9" s="865"/>
      <c r="C9" s="841">
        <v>2025004021</v>
      </c>
      <c r="D9" s="823" t="s">
        <v>660</v>
      </c>
      <c r="E9" s="831">
        <v>0</v>
      </c>
      <c r="F9" s="831">
        <v>0</v>
      </c>
      <c r="G9" s="831">
        <v>0</v>
      </c>
      <c r="H9" s="831">
        <v>0</v>
      </c>
      <c r="I9" s="831">
        <v>0</v>
      </c>
      <c r="J9" s="831">
        <v>0</v>
      </c>
      <c r="K9" s="842">
        <v>0</v>
      </c>
      <c r="L9" s="832">
        <f t="shared" si="28"/>
        <v>0</v>
      </c>
      <c r="M9" s="833"/>
      <c r="N9" s="833"/>
      <c r="O9" s="834">
        <v>0</v>
      </c>
      <c r="P9" s="831">
        <v>0</v>
      </c>
      <c r="Q9" s="831">
        <v>0</v>
      </c>
      <c r="R9" s="831">
        <v>0</v>
      </c>
      <c r="S9" s="831">
        <v>0</v>
      </c>
      <c r="T9" s="831">
        <v>0</v>
      </c>
      <c r="U9" s="842">
        <v>0</v>
      </c>
      <c r="V9" s="833">
        <f t="shared" si="29"/>
        <v>0</v>
      </c>
      <c r="W9" s="833"/>
      <c r="X9" s="833"/>
      <c r="Y9" s="834">
        <v>127</v>
      </c>
      <c r="Z9" s="831">
        <v>139</v>
      </c>
      <c r="AA9" s="831">
        <v>124</v>
      </c>
      <c r="AB9" s="831">
        <v>126</v>
      </c>
      <c r="AC9" s="831">
        <v>124</v>
      </c>
      <c r="AD9" s="831">
        <v>153</v>
      </c>
      <c r="AE9" s="842">
        <v>132</v>
      </c>
      <c r="AF9" s="833">
        <f t="shared" si="30"/>
        <v>925</v>
      </c>
      <c r="AG9" s="833"/>
      <c r="AH9" s="833"/>
      <c r="AI9" s="834">
        <v>113</v>
      </c>
      <c r="AJ9" s="831">
        <v>125</v>
      </c>
      <c r="AK9" s="831">
        <v>137</v>
      </c>
      <c r="AL9" s="831">
        <v>120</v>
      </c>
      <c r="AM9" s="831">
        <v>124</v>
      </c>
      <c r="AN9" s="831">
        <v>108</v>
      </c>
      <c r="AO9" s="842">
        <v>125</v>
      </c>
      <c r="AP9" s="833">
        <f t="shared" si="31"/>
        <v>852</v>
      </c>
      <c r="AQ9" s="833"/>
      <c r="AR9" s="833"/>
      <c r="AS9" s="844"/>
    </row>
    <row r="10" spans="1:45" ht="16.5" customHeight="1">
      <c r="A10" s="845" t="str">
        <f t="shared" si="32"/>
        <v>쿠팡</v>
      </c>
      <c r="B10" s="865"/>
      <c r="C10" s="841">
        <v>2025005026</v>
      </c>
      <c r="D10" s="823" t="s">
        <v>661</v>
      </c>
      <c r="E10" s="831">
        <v>176</v>
      </c>
      <c r="F10" s="831">
        <v>155</v>
      </c>
      <c r="G10" s="831">
        <v>140</v>
      </c>
      <c r="H10" s="831">
        <v>156</v>
      </c>
      <c r="I10" s="831">
        <v>139</v>
      </c>
      <c r="J10" s="831">
        <v>143</v>
      </c>
      <c r="K10" s="842">
        <v>126</v>
      </c>
      <c r="L10" s="832">
        <f t="shared" si="28"/>
        <v>1035</v>
      </c>
      <c r="M10" s="833"/>
      <c r="N10" s="833"/>
      <c r="O10" s="834">
        <v>156</v>
      </c>
      <c r="P10" s="831">
        <v>155</v>
      </c>
      <c r="Q10" s="831">
        <v>142</v>
      </c>
      <c r="R10" s="831">
        <v>129</v>
      </c>
      <c r="S10" s="831">
        <v>117</v>
      </c>
      <c r="T10" s="831">
        <v>174</v>
      </c>
      <c r="U10" s="842">
        <v>138</v>
      </c>
      <c r="V10" s="833">
        <f t="shared" si="29"/>
        <v>1011</v>
      </c>
      <c r="W10" s="833"/>
      <c r="X10" s="833"/>
      <c r="Y10" s="834">
        <v>132</v>
      </c>
      <c r="Z10" s="831">
        <v>104</v>
      </c>
      <c r="AA10" s="831">
        <v>145</v>
      </c>
      <c r="AB10" s="831">
        <v>114</v>
      </c>
      <c r="AC10" s="831">
        <v>124</v>
      </c>
      <c r="AD10" s="831">
        <v>95</v>
      </c>
      <c r="AE10" s="842">
        <v>145</v>
      </c>
      <c r="AF10" s="833">
        <f t="shared" si="30"/>
        <v>859</v>
      </c>
      <c r="AG10" s="833"/>
      <c r="AH10" s="833"/>
      <c r="AI10" s="834">
        <v>144</v>
      </c>
      <c r="AJ10" s="831">
        <v>142</v>
      </c>
      <c r="AK10" s="831">
        <v>143</v>
      </c>
      <c r="AL10" s="831">
        <v>120</v>
      </c>
      <c r="AM10" s="831">
        <v>170</v>
      </c>
      <c r="AN10" s="831">
        <v>146</v>
      </c>
      <c r="AO10" s="842">
        <v>149</v>
      </c>
      <c r="AP10" s="833">
        <f t="shared" si="31"/>
        <v>1014</v>
      </c>
      <c r="AQ10" s="833"/>
      <c r="AR10" s="833"/>
      <c r="AS10" s="844"/>
    </row>
    <row r="11" spans="1:45" ht="16.5" customHeight="1">
      <c r="A11" s="845" t="str">
        <f t="shared" si="32"/>
        <v>쿠팡</v>
      </c>
      <c r="B11" s="865"/>
      <c r="C11" s="841">
        <v>2025005018</v>
      </c>
      <c r="D11" s="823" t="s">
        <v>662</v>
      </c>
      <c r="E11" s="831">
        <v>86</v>
      </c>
      <c r="F11" s="831">
        <v>54</v>
      </c>
      <c r="G11" s="831">
        <v>63</v>
      </c>
      <c r="H11" s="831">
        <v>71</v>
      </c>
      <c r="I11" s="831">
        <v>70</v>
      </c>
      <c r="J11" s="831">
        <v>65</v>
      </c>
      <c r="K11" s="842">
        <v>55</v>
      </c>
      <c r="L11" s="832">
        <f t="shared" si="28"/>
        <v>464</v>
      </c>
      <c r="M11" s="833"/>
      <c r="N11" s="833"/>
      <c r="O11" s="834">
        <v>54</v>
      </c>
      <c r="P11" s="831">
        <v>62</v>
      </c>
      <c r="Q11" s="831">
        <v>45</v>
      </c>
      <c r="R11" s="831">
        <v>59</v>
      </c>
      <c r="S11" s="831">
        <v>35</v>
      </c>
      <c r="T11" s="831">
        <v>61</v>
      </c>
      <c r="U11" s="842">
        <v>50</v>
      </c>
      <c r="V11" s="833">
        <f t="shared" si="29"/>
        <v>366</v>
      </c>
      <c r="W11" s="833"/>
      <c r="X11" s="833"/>
      <c r="Y11" s="834">
        <v>66</v>
      </c>
      <c r="Z11" s="831">
        <v>70</v>
      </c>
      <c r="AA11" s="831">
        <v>39</v>
      </c>
      <c r="AB11" s="831">
        <v>64</v>
      </c>
      <c r="AC11" s="831">
        <v>42</v>
      </c>
      <c r="AD11" s="831">
        <v>65</v>
      </c>
      <c r="AE11" s="842">
        <v>73</v>
      </c>
      <c r="AF11" s="833">
        <f t="shared" si="30"/>
        <v>419</v>
      </c>
      <c r="AG11" s="833"/>
      <c r="AH11" s="833"/>
      <c r="AI11" s="834">
        <v>51</v>
      </c>
      <c r="AJ11" s="831">
        <v>43</v>
      </c>
      <c r="AK11" s="831">
        <v>61</v>
      </c>
      <c r="AL11" s="831">
        <v>68</v>
      </c>
      <c r="AM11" s="831">
        <v>58</v>
      </c>
      <c r="AN11" s="831">
        <v>47</v>
      </c>
      <c r="AO11" s="842">
        <v>49</v>
      </c>
      <c r="AP11" s="833">
        <f t="shared" si="31"/>
        <v>377</v>
      </c>
      <c r="AQ11" s="833"/>
      <c r="AR11" s="833"/>
      <c r="AS11" s="844"/>
    </row>
    <row r="12" spans="1:45" ht="16.5" customHeight="1">
      <c r="A12" s="845" t="str">
        <f t="shared" si="32"/>
        <v>쿠팡</v>
      </c>
      <c r="B12" s="865"/>
      <c r="C12" s="841">
        <v>2026004010</v>
      </c>
      <c r="D12" s="823" t="s">
        <v>663</v>
      </c>
      <c r="E12" s="831">
        <v>179</v>
      </c>
      <c r="F12" s="831">
        <v>175</v>
      </c>
      <c r="G12" s="831">
        <v>214</v>
      </c>
      <c r="H12" s="831">
        <v>153</v>
      </c>
      <c r="I12" s="831">
        <v>154</v>
      </c>
      <c r="J12" s="831">
        <v>156</v>
      </c>
      <c r="K12" s="842">
        <v>140</v>
      </c>
      <c r="L12" s="832">
        <f t="shared" si="28"/>
        <v>1171</v>
      </c>
      <c r="M12" s="833"/>
      <c r="N12" s="833"/>
      <c r="O12" s="834">
        <v>137</v>
      </c>
      <c r="P12" s="831">
        <v>174</v>
      </c>
      <c r="Q12" s="831">
        <v>183</v>
      </c>
      <c r="R12" s="831">
        <v>144</v>
      </c>
      <c r="S12" s="831">
        <v>136</v>
      </c>
      <c r="T12" s="831">
        <v>206</v>
      </c>
      <c r="U12" s="842">
        <v>145</v>
      </c>
      <c r="V12" s="833">
        <f t="shared" si="29"/>
        <v>1125</v>
      </c>
      <c r="W12" s="833"/>
      <c r="X12" s="833"/>
      <c r="Y12" s="834">
        <v>187</v>
      </c>
      <c r="Z12" s="831">
        <v>130</v>
      </c>
      <c r="AA12" s="831">
        <v>212</v>
      </c>
      <c r="AB12" s="831">
        <v>177</v>
      </c>
      <c r="AC12" s="831">
        <v>144</v>
      </c>
      <c r="AD12" s="831">
        <v>135</v>
      </c>
      <c r="AE12" s="842">
        <v>122</v>
      </c>
      <c r="AF12" s="833">
        <f t="shared" si="30"/>
        <v>1107</v>
      </c>
      <c r="AG12" s="833"/>
      <c r="AH12" s="833"/>
      <c r="AI12" s="834">
        <v>150</v>
      </c>
      <c r="AJ12" s="831">
        <v>180</v>
      </c>
      <c r="AK12" s="831">
        <v>140</v>
      </c>
      <c r="AL12" s="831">
        <v>160</v>
      </c>
      <c r="AM12" s="831">
        <v>183</v>
      </c>
      <c r="AN12" s="831">
        <v>141</v>
      </c>
      <c r="AO12" s="842">
        <v>153</v>
      </c>
      <c r="AP12" s="833">
        <f t="shared" si="31"/>
        <v>1107</v>
      </c>
      <c r="AQ12" s="833"/>
      <c r="AR12" s="833"/>
      <c r="AS12" s="844"/>
    </row>
    <row r="13" spans="1:45" ht="16.5" customHeight="1">
      <c r="A13" s="845" t="str">
        <f t="shared" si="32"/>
        <v>쿠팡</v>
      </c>
      <c r="B13" s="865"/>
      <c r="C13" s="841">
        <v>2026002014</v>
      </c>
      <c r="D13" s="823" t="s">
        <v>664</v>
      </c>
      <c r="E13" s="831">
        <v>205</v>
      </c>
      <c r="F13" s="831">
        <v>149</v>
      </c>
      <c r="G13" s="831">
        <v>162</v>
      </c>
      <c r="H13" s="831">
        <v>161</v>
      </c>
      <c r="I13" s="831">
        <v>127</v>
      </c>
      <c r="J13" s="831">
        <v>118</v>
      </c>
      <c r="K13" s="842">
        <v>181</v>
      </c>
      <c r="L13" s="832">
        <f t="shared" si="28"/>
        <v>1103</v>
      </c>
      <c r="M13" s="833"/>
      <c r="N13" s="833"/>
      <c r="O13" s="834">
        <v>169</v>
      </c>
      <c r="P13" s="831">
        <v>147</v>
      </c>
      <c r="Q13" s="831">
        <v>163</v>
      </c>
      <c r="R13" s="831">
        <v>174</v>
      </c>
      <c r="S13" s="831">
        <v>139</v>
      </c>
      <c r="T13" s="831">
        <v>209</v>
      </c>
      <c r="U13" s="842">
        <v>166</v>
      </c>
      <c r="V13" s="833">
        <f t="shared" si="29"/>
        <v>1167</v>
      </c>
      <c r="W13" s="833"/>
      <c r="X13" s="833"/>
      <c r="Y13" s="834">
        <v>144</v>
      </c>
      <c r="Z13" s="831">
        <v>160</v>
      </c>
      <c r="AA13" s="831">
        <v>156</v>
      </c>
      <c r="AB13" s="831">
        <v>131</v>
      </c>
      <c r="AC13" s="831">
        <v>140</v>
      </c>
      <c r="AD13" s="831">
        <v>142</v>
      </c>
      <c r="AE13" s="842">
        <v>180</v>
      </c>
      <c r="AF13" s="833">
        <f t="shared" si="30"/>
        <v>1053</v>
      </c>
      <c r="AG13" s="833"/>
      <c r="AH13" s="833"/>
      <c r="AI13" s="834">
        <v>152</v>
      </c>
      <c r="AJ13" s="831">
        <v>176</v>
      </c>
      <c r="AK13" s="831">
        <v>123</v>
      </c>
      <c r="AL13" s="831">
        <v>173</v>
      </c>
      <c r="AM13" s="831">
        <v>171</v>
      </c>
      <c r="AN13" s="831">
        <v>158</v>
      </c>
      <c r="AO13" s="842">
        <v>175</v>
      </c>
      <c r="AP13" s="833">
        <f t="shared" si="31"/>
        <v>1128</v>
      </c>
      <c r="AQ13" s="833"/>
      <c r="AR13" s="833"/>
      <c r="AS13" s="844"/>
    </row>
    <row r="14" spans="1:45" ht="16.5" customHeight="1">
      <c r="A14" s="845" t="str">
        <f t="shared" si="32"/>
        <v>쿠팡</v>
      </c>
      <c r="B14" s="865"/>
      <c r="C14" s="841">
        <v>2026003008</v>
      </c>
      <c r="D14" s="823" t="s">
        <v>665</v>
      </c>
      <c r="E14" s="831">
        <v>69</v>
      </c>
      <c r="F14" s="831">
        <v>75</v>
      </c>
      <c r="G14" s="831">
        <v>64</v>
      </c>
      <c r="H14" s="831">
        <v>64</v>
      </c>
      <c r="I14" s="831">
        <v>64</v>
      </c>
      <c r="J14" s="831">
        <v>50</v>
      </c>
      <c r="K14" s="842">
        <v>59</v>
      </c>
      <c r="L14" s="832">
        <f t="shared" si="28"/>
        <v>445</v>
      </c>
      <c r="M14" s="833"/>
      <c r="N14" s="833"/>
      <c r="O14" s="834">
        <v>41</v>
      </c>
      <c r="P14" s="831">
        <v>47</v>
      </c>
      <c r="Q14" s="831">
        <v>69</v>
      </c>
      <c r="R14" s="831">
        <v>63</v>
      </c>
      <c r="S14" s="831">
        <v>66</v>
      </c>
      <c r="T14" s="831">
        <v>39</v>
      </c>
      <c r="U14" s="842">
        <v>75</v>
      </c>
      <c r="V14" s="833">
        <f t="shared" si="29"/>
        <v>400</v>
      </c>
      <c r="W14" s="833"/>
      <c r="X14" s="833"/>
      <c r="Y14" s="834">
        <v>44</v>
      </c>
      <c r="Z14" s="831">
        <v>45</v>
      </c>
      <c r="AA14" s="831">
        <v>45</v>
      </c>
      <c r="AB14" s="831">
        <v>46</v>
      </c>
      <c r="AC14" s="831">
        <v>54</v>
      </c>
      <c r="AD14" s="831">
        <v>57</v>
      </c>
      <c r="AE14" s="842">
        <v>76</v>
      </c>
      <c r="AF14" s="833">
        <f t="shared" si="30"/>
        <v>367</v>
      </c>
      <c r="AG14" s="833"/>
      <c r="AH14" s="833"/>
      <c r="AI14" s="834">
        <v>0</v>
      </c>
      <c r="AJ14" s="831">
        <v>0</v>
      </c>
      <c r="AK14" s="831">
        <v>0</v>
      </c>
      <c r="AL14" s="831">
        <v>0</v>
      </c>
      <c r="AM14" s="831">
        <v>0</v>
      </c>
      <c r="AN14" s="831">
        <v>0</v>
      </c>
      <c r="AO14" s="842">
        <v>0</v>
      </c>
      <c r="AP14" s="833">
        <f t="shared" si="31"/>
        <v>0</v>
      </c>
      <c r="AQ14" s="833"/>
      <c r="AR14" s="833"/>
      <c r="AS14" s="844"/>
    </row>
    <row r="15" spans="1:45" ht="16.5" customHeight="1">
      <c r="A15" s="846" t="str">
        <f>A13</f>
        <v>쿠팡</v>
      </c>
      <c r="B15" s="1006"/>
      <c r="C15" s="847">
        <v>2026005016</v>
      </c>
      <c r="D15" s="835" t="s">
        <v>665</v>
      </c>
      <c r="E15" s="836">
        <v>0</v>
      </c>
      <c r="F15" s="836">
        <v>0</v>
      </c>
      <c r="G15" s="836">
        <v>0</v>
      </c>
      <c r="H15" s="836">
        <v>0</v>
      </c>
      <c r="I15" s="836">
        <v>0</v>
      </c>
      <c r="J15" s="836">
        <v>0</v>
      </c>
      <c r="K15" s="848">
        <v>0</v>
      </c>
      <c r="L15" s="837">
        <f t="shared" si="28"/>
        <v>0</v>
      </c>
      <c r="M15" s="838"/>
      <c r="N15" s="838"/>
      <c r="O15" s="839">
        <v>0</v>
      </c>
      <c r="P15" s="836">
        <v>0</v>
      </c>
      <c r="Q15" s="836">
        <v>0</v>
      </c>
      <c r="R15" s="836">
        <v>0</v>
      </c>
      <c r="S15" s="836">
        <v>0</v>
      </c>
      <c r="T15" s="836">
        <v>0</v>
      </c>
      <c r="U15" s="848">
        <v>0</v>
      </c>
      <c r="V15" s="838">
        <f t="shared" si="29"/>
        <v>0</v>
      </c>
      <c r="W15" s="838"/>
      <c r="X15" s="838"/>
      <c r="Y15" s="839">
        <v>0</v>
      </c>
      <c r="Z15" s="836">
        <v>0</v>
      </c>
      <c r="AA15" s="836">
        <v>0</v>
      </c>
      <c r="AB15" s="836">
        <v>0</v>
      </c>
      <c r="AC15" s="836">
        <v>0</v>
      </c>
      <c r="AD15" s="836">
        <v>0</v>
      </c>
      <c r="AE15" s="848">
        <v>0</v>
      </c>
      <c r="AF15" s="838">
        <f t="shared" si="30"/>
        <v>0</v>
      </c>
      <c r="AG15" s="838"/>
      <c r="AH15" s="838"/>
      <c r="AI15" s="839">
        <v>53</v>
      </c>
      <c r="AJ15" s="836">
        <v>71</v>
      </c>
      <c r="AK15" s="836">
        <v>48</v>
      </c>
      <c r="AL15" s="836">
        <v>51</v>
      </c>
      <c r="AM15" s="836">
        <v>49</v>
      </c>
      <c r="AN15" s="836">
        <v>71</v>
      </c>
      <c r="AO15" s="848">
        <v>61</v>
      </c>
      <c r="AP15" s="838">
        <f t="shared" si="31"/>
        <v>404</v>
      </c>
      <c r="AQ15" s="838"/>
      <c r="AR15" s="838"/>
      <c r="AS15" s="844"/>
    </row>
    <row r="16" spans="1:45" ht="16.5" customHeight="1">
      <c r="A16" s="840" t="s">
        <v>486</v>
      </c>
      <c r="B16" s="1005" t="s">
        <v>486</v>
      </c>
      <c r="C16" s="841">
        <v>2025009015</v>
      </c>
      <c r="D16" s="823" t="s">
        <v>660</v>
      </c>
      <c r="E16" s="831">
        <v>0</v>
      </c>
      <c r="F16" s="831">
        <v>0</v>
      </c>
      <c r="G16" s="831">
        <v>0</v>
      </c>
      <c r="H16" s="831">
        <v>0</v>
      </c>
      <c r="I16" s="831">
        <v>0</v>
      </c>
      <c r="J16" s="831">
        <v>0</v>
      </c>
      <c r="K16" s="842">
        <v>0</v>
      </c>
      <c r="L16" s="832">
        <f t="shared" si="28"/>
        <v>0</v>
      </c>
      <c r="M16" s="833"/>
      <c r="N16" s="833"/>
      <c r="O16" s="834">
        <v>0</v>
      </c>
      <c r="P16" s="831">
        <v>0</v>
      </c>
      <c r="Q16" s="831">
        <v>0</v>
      </c>
      <c r="R16" s="831">
        <v>0</v>
      </c>
      <c r="S16" s="831">
        <v>0</v>
      </c>
      <c r="T16" s="831">
        <v>0</v>
      </c>
      <c r="U16" s="842">
        <v>0</v>
      </c>
      <c r="V16" s="833">
        <f t="shared" si="29"/>
        <v>0</v>
      </c>
      <c r="W16" s="833"/>
      <c r="X16" s="833"/>
      <c r="Y16" s="834">
        <v>0</v>
      </c>
      <c r="Z16" s="831">
        <v>0</v>
      </c>
      <c r="AA16" s="831">
        <v>0</v>
      </c>
      <c r="AB16" s="831">
        <v>20</v>
      </c>
      <c r="AC16" s="831">
        <v>0</v>
      </c>
      <c r="AD16" s="831">
        <v>0</v>
      </c>
      <c r="AE16" s="842">
        <v>0</v>
      </c>
      <c r="AF16" s="833">
        <f t="shared" si="30"/>
        <v>20</v>
      </c>
      <c r="AG16" s="833"/>
      <c r="AH16" s="833"/>
      <c r="AI16" s="834">
        <v>0</v>
      </c>
      <c r="AJ16" s="831">
        <v>0</v>
      </c>
      <c r="AK16" s="831">
        <v>0</v>
      </c>
      <c r="AL16" s="831">
        <v>0</v>
      </c>
      <c r="AM16" s="831">
        <v>0</v>
      </c>
      <c r="AN16" s="831">
        <v>0</v>
      </c>
      <c r="AO16" s="842">
        <v>0</v>
      </c>
      <c r="AP16" s="833">
        <f t="shared" si="31"/>
        <v>0</v>
      </c>
      <c r="AQ16" s="833"/>
      <c r="AR16" s="833"/>
      <c r="AS16" s="844"/>
    </row>
    <row r="17" spans="1:45" ht="16.5" customHeight="1">
      <c r="A17" s="845" t="s">
        <v>486</v>
      </c>
      <c r="B17" s="865"/>
      <c r="C17" s="841">
        <v>2025005026</v>
      </c>
      <c r="D17" s="823" t="s">
        <v>661</v>
      </c>
      <c r="E17" s="831">
        <v>0</v>
      </c>
      <c r="F17" s="831">
        <v>0</v>
      </c>
      <c r="G17" s="831">
        <v>0</v>
      </c>
      <c r="H17" s="831">
        <v>0</v>
      </c>
      <c r="I17" s="831">
        <v>0</v>
      </c>
      <c r="J17" s="831">
        <v>0</v>
      </c>
      <c r="K17" s="842">
        <v>0</v>
      </c>
      <c r="L17" s="832">
        <f t="shared" si="28"/>
        <v>0</v>
      </c>
      <c r="M17" s="833"/>
      <c r="N17" s="833"/>
      <c r="O17" s="834">
        <v>0</v>
      </c>
      <c r="P17" s="831">
        <v>0</v>
      </c>
      <c r="Q17" s="831">
        <v>0</v>
      </c>
      <c r="R17" s="831">
        <v>48</v>
      </c>
      <c r="S17" s="831">
        <v>0</v>
      </c>
      <c r="T17" s="831">
        <v>0</v>
      </c>
      <c r="U17" s="842">
        <v>0</v>
      </c>
      <c r="V17" s="833">
        <f t="shared" si="29"/>
        <v>48</v>
      </c>
      <c r="W17" s="833"/>
      <c r="X17" s="833"/>
      <c r="Y17" s="834">
        <v>0</v>
      </c>
      <c r="Z17" s="831">
        <v>0</v>
      </c>
      <c r="AA17" s="831">
        <v>0</v>
      </c>
      <c r="AB17" s="831">
        <v>24</v>
      </c>
      <c r="AC17" s="831">
        <v>0</v>
      </c>
      <c r="AD17" s="831">
        <v>0</v>
      </c>
      <c r="AE17" s="842">
        <v>0</v>
      </c>
      <c r="AF17" s="833">
        <f t="shared" si="30"/>
        <v>24</v>
      </c>
      <c r="AG17" s="833"/>
      <c r="AH17" s="833"/>
      <c r="AI17" s="834">
        <v>0</v>
      </c>
      <c r="AJ17" s="831">
        <v>0</v>
      </c>
      <c r="AK17" s="831">
        <v>0</v>
      </c>
      <c r="AL17" s="831">
        <v>0</v>
      </c>
      <c r="AM17" s="831">
        <v>0</v>
      </c>
      <c r="AN17" s="831">
        <v>0</v>
      </c>
      <c r="AO17" s="842">
        <v>0</v>
      </c>
      <c r="AP17" s="833">
        <f t="shared" si="31"/>
        <v>0</v>
      </c>
      <c r="AQ17" s="833"/>
      <c r="AR17" s="833"/>
      <c r="AS17" s="844"/>
    </row>
    <row r="18" spans="1:45" ht="16.5" customHeight="1">
      <c r="A18" s="845" t="str">
        <f>A16</f>
        <v>컬리</v>
      </c>
      <c r="B18" s="865"/>
      <c r="C18" s="841">
        <v>2025007005</v>
      </c>
      <c r="D18" s="823" t="s">
        <v>661</v>
      </c>
      <c r="E18" s="831">
        <v>0</v>
      </c>
      <c r="F18" s="831">
        <v>0</v>
      </c>
      <c r="G18" s="831">
        <v>0</v>
      </c>
      <c r="H18" s="831">
        <v>0</v>
      </c>
      <c r="I18" s="831">
        <v>0</v>
      </c>
      <c r="J18" s="831">
        <v>0</v>
      </c>
      <c r="K18" s="842">
        <v>0</v>
      </c>
      <c r="L18" s="832">
        <f t="shared" si="28"/>
        <v>0</v>
      </c>
      <c r="M18" s="833"/>
      <c r="N18" s="833"/>
      <c r="O18" s="834">
        <v>0</v>
      </c>
      <c r="P18" s="831">
        <v>0</v>
      </c>
      <c r="Q18" s="831">
        <v>0</v>
      </c>
      <c r="R18" s="831">
        <v>0</v>
      </c>
      <c r="S18" s="831">
        <v>0</v>
      </c>
      <c r="T18" s="831">
        <v>0</v>
      </c>
      <c r="U18" s="842">
        <v>0</v>
      </c>
      <c r="V18" s="833">
        <f t="shared" si="29"/>
        <v>0</v>
      </c>
      <c r="W18" s="833"/>
      <c r="X18" s="833"/>
      <c r="Y18" s="834">
        <v>0</v>
      </c>
      <c r="Z18" s="831">
        <v>0</v>
      </c>
      <c r="AA18" s="831">
        <v>0</v>
      </c>
      <c r="AB18" s="831">
        <v>0</v>
      </c>
      <c r="AC18" s="831">
        <v>0</v>
      </c>
      <c r="AD18" s="831">
        <v>0</v>
      </c>
      <c r="AE18" s="842">
        <v>0</v>
      </c>
      <c r="AF18" s="833">
        <f t="shared" si="30"/>
        <v>0</v>
      </c>
      <c r="AG18" s="833"/>
      <c r="AH18" s="833"/>
      <c r="AI18" s="834">
        <v>0</v>
      </c>
      <c r="AJ18" s="831">
        <v>0</v>
      </c>
      <c r="AK18" s="831">
        <v>0</v>
      </c>
      <c r="AL18" s="831">
        <v>0</v>
      </c>
      <c r="AM18" s="831">
        <v>0</v>
      </c>
      <c r="AN18" s="831">
        <v>0</v>
      </c>
      <c r="AO18" s="842">
        <v>0</v>
      </c>
      <c r="AP18" s="833">
        <f t="shared" si="31"/>
        <v>0</v>
      </c>
      <c r="AQ18" s="833"/>
      <c r="AR18" s="833"/>
      <c r="AS18" s="844"/>
    </row>
    <row r="19" spans="1:45" ht="16.5" customHeight="1">
      <c r="A19" s="845" t="s">
        <v>486</v>
      </c>
      <c r="B19" s="865"/>
      <c r="C19" s="841">
        <v>2025005018</v>
      </c>
      <c r="D19" s="823" t="s">
        <v>662</v>
      </c>
      <c r="E19" s="831">
        <v>0</v>
      </c>
      <c r="F19" s="831">
        <v>0</v>
      </c>
      <c r="G19" s="831">
        <v>0</v>
      </c>
      <c r="H19" s="831">
        <v>0</v>
      </c>
      <c r="I19" s="831">
        <v>0</v>
      </c>
      <c r="J19" s="831">
        <v>0</v>
      </c>
      <c r="K19" s="842">
        <v>0</v>
      </c>
      <c r="L19" s="832">
        <f t="shared" si="28"/>
        <v>0</v>
      </c>
      <c r="M19" s="833"/>
      <c r="N19" s="833"/>
      <c r="O19" s="834">
        <v>0</v>
      </c>
      <c r="P19" s="831">
        <v>0</v>
      </c>
      <c r="Q19" s="831">
        <v>0</v>
      </c>
      <c r="R19" s="831">
        <v>24</v>
      </c>
      <c r="S19" s="831">
        <v>0</v>
      </c>
      <c r="T19" s="831">
        <v>0</v>
      </c>
      <c r="U19" s="842">
        <v>0</v>
      </c>
      <c r="V19" s="833">
        <f t="shared" si="29"/>
        <v>24</v>
      </c>
      <c r="W19" s="833"/>
      <c r="X19" s="833"/>
      <c r="Y19" s="834">
        <v>0</v>
      </c>
      <c r="Z19" s="831">
        <v>0</v>
      </c>
      <c r="AA19" s="831">
        <v>0</v>
      </c>
      <c r="AB19" s="831">
        <v>40</v>
      </c>
      <c r="AC19" s="831">
        <v>0</v>
      </c>
      <c r="AD19" s="831">
        <v>0</v>
      </c>
      <c r="AE19" s="842">
        <v>0</v>
      </c>
      <c r="AF19" s="833">
        <f t="shared" si="30"/>
        <v>40</v>
      </c>
      <c r="AG19" s="833"/>
      <c r="AH19" s="833"/>
      <c r="AI19" s="834">
        <v>0</v>
      </c>
      <c r="AJ19" s="831">
        <v>0</v>
      </c>
      <c r="AK19" s="831">
        <v>0</v>
      </c>
      <c r="AL19" s="831">
        <v>0</v>
      </c>
      <c r="AM19" s="831">
        <v>0</v>
      </c>
      <c r="AN19" s="831">
        <v>0</v>
      </c>
      <c r="AO19" s="842">
        <v>0</v>
      </c>
      <c r="AP19" s="833">
        <f t="shared" si="31"/>
        <v>0</v>
      </c>
      <c r="AQ19" s="833"/>
      <c r="AR19" s="833"/>
      <c r="AS19" s="844"/>
    </row>
    <row r="20" spans="1:45" ht="16.5" customHeight="1">
      <c r="A20" s="845" t="str">
        <f>A18</f>
        <v>컬리</v>
      </c>
      <c r="B20" s="865"/>
      <c r="C20" s="841">
        <v>2025007012</v>
      </c>
      <c r="D20" s="823" t="s">
        <v>662</v>
      </c>
      <c r="E20" s="831">
        <v>0</v>
      </c>
      <c r="F20" s="831">
        <v>0</v>
      </c>
      <c r="G20" s="831">
        <v>0</v>
      </c>
      <c r="H20" s="831">
        <v>0</v>
      </c>
      <c r="I20" s="831">
        <v>0</v>
      </c>
      <c r="J20" s="831">
        <v>0</v>
      </c>
      <c r="K20" s="842">
        <v>0</v>
      </c>
      <c r="L20" s="832">
        <f t="shared" si="28"/>
        <v>0</v>
      </c>
      <c r="M20" s="833"/>
      <c r="N20" s="833"/>
      <c r="O20" s="834">
        <v>0</v>
      </c>
      <c r="P20" s="831">
        <v>0</v>
      </c>
      <c r="Q20" s="831">
        <v>0</v>
      </c>
      <c r="R20" s="831">
        <v>0</v>
      </c>
      <c r="S20" s="831">
        <v>0</v>
      </c>
      <c r="T20" s="831">
        <v>0</v>
      </c>
      <c r="U20" s="842">
        <v>0</v>
      </c>
      <c r="V20" s="833">
        <f t="shared" si="29"/>
        <v>0</v>
      </c>
      <c r="W20" s="833"/>
      <c r="X20" s="833"/>
      <c r="Y20" s="834">
        <v>0</v>
      </c>
      <c r="Z20" s="831">
        <v>0</v>
      </c>
      <c r="AA20" s="831">
        <v>0</v>
      </c>
      <c r="AB20" s="831">
        <v>0</v>
      </c>
      <c r="AC20" s="831">
        <v>0</v>
      </c>
      <c r="AD20" s="831">
        <v>0</v>
      </c>
      <c r="AE20" s="842">
        <v>0</v>
      </c>
      <c r="AF20" s="833">
        <f t="shared" si="30"/>
        <v>0</v>
      </c>
      <c r="AG20" s="833"/>
      <c r="AH20" s="833"/>
      <c r="AI20" s="834">
        <v>0</v>
      </c>
      <c r="AJ20" s="831">
        <v>0</v>
      </c>
      <c r="AK20" s="831">
        <v>0</v>
      </c>
      <c r="AL20" s="831">
        <v>0</v>
      </c>
      <c r="AM20" s="831">
        <v>0</v>
      </c>
      <c r="AN20" s="831">
        <v>0</v>
      </c>
      <c r="AO20" s="842">
        <v>0</v>
      </c>
      <c r="AP20" s="833">
        <f t="shared" si="31"/>
        <v>0</v>
      </c>
      <c r="AQ20" s="833"/>
      <c r="AR20" s="833"/>
      <c r="AS20" s="844"/>
    </row>
    <row r="21" spans="1:45" ht="16.5" customHeight="1">
      <c r="A21" s="845" t="str">
        <f t="shared" ref="A21:A23" si="33">A20</f>
        <v>컬리</v>
      </c>
      <c r="B21" s="865"/>
      <c r="C21" s="841">
        <v>2026004010</v>
      </c>
      <c r="D21" s="823" t="s">
        <v>663</v>
      </c>
      <c r="E21" s="831">
        <v>0</v>
      </c>
      <c r="F21" s="831">
        <v>0</v>
      </c>
      <c r="G21" s="831">
        <v>0</v>
      </c>
      <c r="H21" s="831">
        <v>0</v>
      </c>
      <c r="I21" s="831">
        <v>0</v>
      </c>
      <c r="J21" s="831">
        <v>0</v>
      </c>
      <c r="K21" s="842">
        <v>0</v>
      </c>
      <c r="L21" s="832">
        <f t="shared" si="28"/>
        <v>0</v>
      </c>
      <c r="M21" s="833"/>
      <c r="N21" s="833"/>
      <c r="O21" s="834">
        <v>0</v>
      </c>
      <c r="P21" s="831">
        <v>0</v>
      </c>
      <c r="Q21" s="831">
        <v>0</v>
      </c>
      <c r="R21" s="831">
        <v>76</v>
      </c>
      <c r="S21" s="831">
        <v>0</v>
      </c>
      <c r="T21" s="831">
        <v>0</v>
      </c>
      <c r="U21" s="842">
        <v>0</v>
      </c>
      <c r="V21" s="833">
        <f t="shared" si="29"/>
        <v>76</v>
      </c>
      <c r="W21" s="833"/>
      <c r="X21" s="833"/>
      <c r="Y21" s="834">
        <v>0</v>
      </c>
      <c r="Z21" s="831">
        <v>0</v>
      </c>
      <c r="AA21" s="831">
        <v>0</v>
      </c>
      <c r="AB21" s="831">
        <v>96</v>
      </c>
      <c r="AC21" s="831">
        <v>0</v>
      </c>
      <c r="AD21" s="831">
        <v>0</v>
      </c>
      <c r="AE21" s="842">
        <v>0</v>
      </c>
      <c r="AF21" s="833">
        <f t="shared" si="30"/>
        <v>96</v>
      </c>
      <c r="AG21" s="833"/>
      <c r="AH21" s="833"/>
      <c r="AI21" s="834">
        <v>0</v>
      </c>
      <c r="AJ21" s="831">
        <v>0</v>
      </c>
      <c r="AK21" s="831">
        <v>0</v>
      </c>
      <c r="AL21" s="831">
        <v>0</v>
      </c>
      <c r="AM21" s="831">
        <v>0</v>
      </c>
      <c r="AN21" s="831">
        <v>0</v>
      </c>
      <c r="AO21" s="842">
        <v>0</v>
      </c>
      <c r="AP21" s="833">
        <f t="shared" si="31"/>
        <v>0</v>
      </c>
      <c r="AQ21" s="833"/>
      <c r="AR21" s="833"/>
      <c r="AS21" s="844"/>
    </row>
    <row r="22" spans="1:45" ht="16.5" customHeight="1">
      <c r="A22" s="845" t="str">
        <f t="shared" si="33"/>
        <v>컬리</v>
      </c>
      <c r="B22" s="865"/>
      <c r="C22" s="841">
        <v>2026002014</v>
      </c>
      <c r="D22" s="823" t="s">
        <v>664</v>
      </c>
      <c r="E22" s="831">
        <v>0</v>
      </c>
      <c r="F22" s="831">
        <v>0</v>
      </c>
      <c r="G22" s="831">
        <v>0</v>
      </c>
      <c r="H22" s="831">
        <v>0</v>
      </c>
      <c r="I22" s="831">
        <v>0</v>
      </c>
      <c r="J22" s="831">
        <v>0</v>
      </c>
      <c r="K22" s="842">
        <v>0</v>
      </c>
      <c r="L22" s="832">
        <f t="shared" si="28"/>
        <v>0</v>
      </c>
      <c r="M22" s="833"/>
      <c r="N22" s="833"/>
      <c r="O22" s="834">
        <v>0</v>
      </c>
      <c r="P22" s="831">
        <v>0</v>
      </c>
      <c r="Q22" s="831">
        <v>0</v>
      </c>
      <c r="R22" s="831">
        <v>188</v>
      </c>
      <c r="S22" s="831">
        <v>0</v>
      </c>
      <c r="T22" s="831">
        <v>0</v>
      </c>
      <c r="U22" s="842">
        <v>0</v>
      </c>
      <c r="V22" s="833">
        <f t="shared" si="29"/>
        <v>188</v>
      </c>
      <c r="W22" s="833"/>
      <c r="X22" s="833"/>
      <c r="Y22" s="834">
        <v>0</v>
      </c>
      <c r="Z22" s="831">
        <v>0</v>
      </c>
      <c r="AA22" s="831">
        <v>0</v>
      </c>
      <c r="AB22" s="831">
        <v>92</v>
      </c>
      <c r="AC22" s="831">
        <v>0</v>
      </c>
      <c r="AD22" s="831">
        <v>0</v>
      </c>
      <c r="AE22" s="842">
        <v>0</v>
      </c>
      <c r="AF22" s="833">
        <f t="shared" si="30"/>
        <v>92</v>
      </c>
      <c r="AG22" s="833"/>
      <c r="AH22" s="833"/>
      <c r="AI22" s="834">
        <v>0</v>
      </c>
      <c r="AJ22" s="831">
        <v>0</v>
      </c>
      <c r="AK22" s="831">
        <v>0</v>
      </c>
      <c r="AL22" s="831">
        <v>0</v>
      </c>
      <c r="AM22" s="831">
        <v>0</v>
      </c>
      <c r="AN22" s="831">
        <v>0</v>
      </c>
      <c r="AO22" s="842">
        <v>0</v>
      </c>
      <c r="AP22" s="833">
        <f t="shared" si="31"/>
        <v>0</v>
      </c>
      <c r="AQ22" s="833"/>
      <c r="AR22" s="833"/>
      <c r="AS22" s="844"/>
    </row>
    <row r="23" spans="1:45" ht="16.5" customHeight="1">
      <c r="A23" s="846" t="str">
        <f t="shared" si="33"/>
        <v>컬리</v>
      </c>
      <c r="B23" s="1006"/>
      <c r="C23" s="847">
        <v>2026003008</v>
      </c>
      <c r="D23" s="835" t="s">
        <v>665</v>
      </c>
      <c r="E23" s="836">
        <v>0</v>
      </c>
      <c r="F23" s="836">
        <v>0</v>
      </c>
      <c r="G23" s="836">
        <v>0</v>
      </c>
      <c r="H23" s="836">
        <v>0</v>
      </c>
      <c r="I23" s="836">
        <v>0</v>
      </c>
      <c r="J23" s="836">
        <v>0</v>
      </c>
      <c r="K23" s="848">
        <v>0</v>
      </c>
      <c r="L23" s="837">
        <f t="shared" si="28"/>
        <v>0</v>
      </c>
      <c r="M23" s="838"/>
      <c r="N23" s="838"/>
      <c r="O23" s="839">
        <v>0</v>
      </c>
      <c r="P23" s="836">
        <v>0</v>
      </c>
      <c r="Q23" s="836">
        <v>0</v>
      </c>
      <c r="R23" s="836">
        <v>76</v>
      </c>
      <c r="S23" s="836">
        <v>0</v>
      </c>
      <c r="T23" s="836">
        <v>0</v>
      </c>
      <c r="U23" s="848">
        <v>0</v>
      </c>
      <c r="V23" s="838">
        <f t="shared" si="29"/>
        <v>76</v>
      </c>
      <c r="W23" s="838"/>
      <c r="X23" s="838"/>
      <c r="Y23" s="839">
        <v>0</v>
      </c>
      <c r="Z23" s="836">
        <v>0</v>
      </c>
      <c r="AA23" s="836">
        <v>0</v>
      </c>
      <c r="AB23" s="836">
        <v>16</v>
      </c>
      <c r="AC23" s="836">
        <v>0</v>
      </c>
      <c r="AD23" s="836">
        <v>0</v>
      </c>
      <c r="AE23" s="848">
        <v>0</v>
      </c>
      <c r="AF23" s="838">
        <f t="shared" si="30"/>
        <v>16</v>
      </c>
      <c r="AG23" s="838"/>
      <c r="AH23" s="838"/>
      <c r="AI23" s="839">
        <v>0</v>
      </c>
      <c r="AJ23" s="836">
        <v>0</v>
      </c>
      <c r="AK23" s="836">
        <v>0</v>
      </c>
      <c r="AL23" s="836">
        <v>0</v>
      </c>
      <c r="AM23" s="836">
        <v>0</v>
      </c>
      <c r="AN23" s="836">
        <v>0</v>
      </c>
      <c r="AO23" s="848">
        <v>0</v>
      </c>
      <c r="AP23" s="838">
        <f t="shared" si="31"/>
        <v>0</v>
      </c>
      <c r="AQ23" s="838"/>
      <c r="AR23" s="838"/>
      <c r="AS23" s="844"/>
    </row>
    <row r="24" spans="1:45" ht="16.5" customHeight="1">
      <c r="A24" s="840" t="s">
        <v>672</v>
      </c>
      <c r="B24" s="1005" t="s">
        <v>672</v>
      </c>
      <c r="C24" s="841">
        <v>2025004021</v>
      </c>
      <c r="D24" s="823" t="s">
        <v>660</v>
      </c>
      <c r="E24" s="831">
        <v>2</v>
      </c>
      <c r="F24" s="831">
        <v>6</v>
      </c>
      <c r="G24" s="831">
        <v>12</v>
      </c>
      <c r="H24" s="831">
        <v>13</v>
      </c>
      <c r="I24" s="831">
        <v>8</v>
      </c>
      <c r="J24" s="831">
        <v>4</v>
      </c>
      <c r="K24" s="842">
        <v>7</v>
      </c>
      <c r="L24" s="832">
        <f t="shared" si="28"/>
        <v>52</v>
      </c>
      <c r="M24" s="833"/>
      <c r="N24" s="833"/>
      <c r="O24" s="834">
        <v>15</v>
      </c>
      <c r="P24" s="831">
        <v>4</v>
      </c>
      <c r="Q24" s="831">
        <v>10</v>
      </c>
      <c r="R24" s="831">
        <v>14</v>
      </c>
      <c r="S24" s="831">
        <v>11</v>
      </c>
      <c r="T24" s="831">
        <v>0</v>
      </c>
      <c r="U24" s="842">
        <v>7</v>
      </c>
      <c r="V24" s="833">
        <f t="shared" si="29"/>
        <v>61</v>
      </c>
      <c r="W24" s="833"/>
      <c r="X24" s="833"/>
      <c r="Y24" s="834">
        <v>16</v>
      </c>
      <c r="Z24" s="831">
        <v>9</v>
      </c>
      <c r="AA24" s="831">
        <v>2</v>
      </c>
      <c r="AB24" s="831">
        <v>6</v>
      </c>
      <c r="AC24" s="831">
        <v>9</v>
      </c>
      <c r="AD24" s="831">
        <v>11</v>
      </c>
      <c r="AE24" s="842">
        <v>11</v>
      </c>
      <c r="AF24" s="833">
        <f t="shared" si="30"/>
        <v>64</v>
      </c>
      <c r="AG24" s="833"/>
      <c r="AH24" s="833"/>
      <c r="AI24" s="834">
        <v>7</v>
      </c>
      <c r="AJ24" s="831">
        <v>6</v>
      </c>
      <c r="AK24" s="831">
        <v>7</v>
      </c>
      <c r="AL24" s="831">
        <v>9</v>
      </c>
      <c r="AM24" s="831">
        <v>5</v>
      </c>
      <c r="AN24" s="831">
        <v>6</v>
      </c>
      <c r="AO24" s="842">
        <v>14</v>
      </c>
      <c r="AP24" s="833">
        <f t="shared" si="31"/>
        <v>54</v>
      </c>
      <c r="AQ24" s="833"/>
      <c r="AR24" s="833"/>
      <c r="AS24" s="844"/>
    </row>
    <row r="25" spans="1:45" ht="16.5" customHeight="1">
      <c r="A25" s="845" t="str">
        <f t="shared" ref="A25:A29" si="34">A24</f>
        <v xml:space="preserve"> 이마트0온라인</v>
      </c>
      <c r="B25" s="865"/>
      <c r="C25" s="841">
        <v>2025005026</v>
      </c>
      <c r="D25" s="823" t="s">
        <v>661</v>
      </c>
      <c r="E25" s="831">
        <v>6</v>
      </c>
      <c r="F25" s="831">
        <v>11</v>
      </c>
      <c r="G25" s="831">
        <v>9</v>
      </c>
      <c r="H25" s="831">
        <v>11</v>
      </c>
      <c r="I25" s="831">
        <v>3</v>
      </c>
      <c r="J25" s="831">
        <v>11</v>
      </c>
      <c r="K25" s="842">
        <v>5</v>
      </c>
      <c r="L25" s="832">
        <f t="shared" si="28"/>
        <v>56</v>
      </c>
      <c r="M25" s="833"/>
      <c r="N25" s="833"/>
      <c r="O25" s="834">
        <v>6</v>
      </c>
      <c r="P25" s="831">
        <v>8</v>
      </c>
      <c r="Q25" s="831">
        <v>8</v>
      </c>
      <c r="R25" s="831">
        <v>15</v>
      </c>
      <c r="S25" s="831">
        <v>7</v>
      </c>
      <c r="T25" s="831">
        <v>0</v>
      </c>
      <c r="U25" s="842">
        <v>2</v>
      </c>
      <c r="V25" s="833">
        <f t="shared" si="29"/>
        <v>46</v>
      </c>
      <c r="W25" s="833"/>
      <c r="X25" s="833"/>
      <c r="Y25" s="834">
        <v>8</v>
      </c>
      <c r="Z25" s="831">
        <v>10</v>
      </c>
      <c r="AA25" s="831">
        <v>4</v>
      </c>
      <c r="AB25" s="831">
        <v>9</v>
      </c>
      <c r="AC25" s="831">
        <v>11</v>
      </c>
      <c r="AD25" s="831">
        <v>6</v>
      </c>
      <c r="AE25" s="842">
        <v>12</v>
      </c>
      <c r="AF25" s="833">
        <f t="shared" si="30"/>
        <v>60</v>
      </c>
      <c r="AG25" s="833"/>
      <c r="AH25" s="833"/>
      <c r="AI25" s="834">
        <v>7</v>
      </c>
      <c r="AJ25" s="831">
        <v>9</v>
      </c>
      <c r="AK25" s="831">
        <v>12</v>
      </c>
      <c r="AL25" s="831">
        <v>10</v>
      </c>
      <c r="AM25" s="831">
        <v>3</v>
      </c>
      <c r="AN25" s="831">
        <v>4</v>
      </c>
      <c r="AO25" s="842">
        <v>8</v>
      </c>
      <c r="AP25" s="833">
        <f t="shared" si="31"/>
        <v>53</v>
      </c>
      <c r="AQ25" s="833"/>
      <c r="AR25" s="833"/>
      <c r="AS25" s="844"/>
    </row>
    <row r="26" spans="1:45" ht="16.5" customHeight="1">
      <c r="A26" s="845" t="str">
        <f t="shared" si="34"/>
        <v xml:space="preserve"> 이마트0온라인</v>
      </c>
      <c r="B26" s="865"/>
      <c r="C26" s="841">
        <v>2025005018</v>
      </c>
      <c r="D26" s="823" t="s">
        <v>662</v>
      </c>
      <c r="E26" s="831">
        <v>5</v>
      </c>
      <c r="F26" s="831">
        <v>3</v>
      </c>
      <c r="G26" s="831">
        <v>1</v>
      </c>
      <c r="H26" s="831">
        <v>6</v>
      </c>
      <c r="I26" s="831">
        <v>5</v>
      </c>
      <c r="J26" s="831">
        <v>5</v>
      </c>
      <c r="K26" s="842">
        <v>6</v>
      </c>
      <c r="L26" s="832">
        <f t="shared" si="28"/>
        <v>31</v>
      </c>
      <c r="M26" s="833"/>
      <c r="N26" s="833"/>
      <c r="O26" s="834">
        <v>4</v>
      </c>
      <c r="P26" s="831">
        <v>2</v>
      </c>
      <c r="Q26" s="831">
        <v>7</v>
      </c>
      <c r="R26" s="831">
        <v>8</v>
      </c>
      <c r="S26" s="831">
        <v>4</v>
      </c>
      <c r="T26" s="831">
        <v>3</v>
      </c>
      <c r="U26" s="842">
        <v>5</v>
      </c>
      <c r="V26" s="833">
        <f t="shared" si="29"/>
        <v>33</v>
      </c>
      <c r="W26" s="833"/>
      <c r="X26" s="833"/>
      <c r="Y26" s="834">
        <v>8</v>
      </c>
      <c r="Z26" s="831">
        <v>1</v>
      </c>
      <c r="AA26" s="831">
        <v>9</v>
      </c>
      <c r="AB26" s="831">
        <v>5</v>
      </c>
      <c r="AC26" s="831">
        <v>6</v>
      </c>
      <c r="AD26" s="831">
        <v>2</v>
      </c>
      <c r="AE26" s="842">
        <v>4</v>
      </c>
      <c r="AF26" s="833">
        <f t="shared" si="30"/>
        <v>35</v>
      </c>
      <c r="AG26" s="833"/>
      <c r="AH26" s="833"/>
      <c r="AI26" s="834">
        <v>8</v>
      </c>
      <c r="AJ26" s="831">
        <v>4</v>
      </c>
      <c r="AK26" s="831">
        <v>4</v>
      </c>
      <c r="AL26" s="831">
        <v>5</v>
      </c>
      <c r="AM26" s="831">
        <v>2</v>
      </c>
      <c r="AN26" s="831">
        <v>2</v>
      </c>
      <c r="AO26" s="842">
        <v>4</v>
      </c>
      <c r="AP26" s="833">
        <f t="shared" si="31"/>
        <v>29</v>
      </c>
      <c r="AQ26" s="833"/>
      <c r="AR26" s="833"/>
      <c r="AS26" s="844"/>
    </row>
    <row r="27" spans="1:45" ht="16.5" customHeight="1">
      <c r="A27" s="845" t="str">
        <f t="shared" si="34"/>
        <v xml:space="preserve"> 이마트0온라인</v>
      </c>
      <c r="B27" s="865"/>
      <c r="C27" s="841">
        <v>2026004010</v>
      </c>
      <c r="D27" s="823" t="s">
        <v>663</v>
      </c>
      <c r="E27" s="831">
        <v>5</v>
      </c>
      <c r="F27" s="831">
        <v>13</v>
      </c>
      <c r="G27" s="831">
        <v>12</v>
      </c>
      <c r="H27" s="831">
        <v>6</v>
      </c>
      <c r="I27" s="831">
        <v>8</v>
      </c>
      <c r="J27" s="831">
        <v>11</v>
      </c>
      <c r="K27" s="842">
        <v>9</v>
      </c>
      <c r="L27" s="832">
        <f t="shared" si="28"/>
        <v>64</v>
      </c>
      <c r="M27" s="833"/>
      <c r="N27" s="833"/>
      <c r="O27" s="834">
        <v>3</v>
      </c>
      <c r="P27" s="831">
        <v>9</v>
      </c>
      <c r="Q27" s="831">
        <v>14</v>
      </c>
      <c r="R27" s="831">
        <v>11</v>
      </c>
      <c r="S27" s="831">
        <v>11</v>
      </c>
      <c r="T27" s="831">
        <v>3</v>
      </c>
      <c r="U27" s="842">
        <v>7</v>
      </c>
      <c r="V27" s="833">
        <f t="shared" si="29"/>
        <v>58</v>
      </c>
      <c r="W27" s="833"/>
      <c r="X27" s="833"/>
      <c r="Y27" s="834">
        <v>10</v>
      </c>
      <c r="Z27" s="831">
        <v>7</v>
      </c>
      <c r="AA27" s="831">
        <v>5</v>
      </c>
      <c r="AB27" s="831">
        <v>6</v>
      </c>
      <c r="AC27" s="831">
        <v>2</v>
      </c>
      <c r="AD27" s="831">
        <v>12</v>
      </c>
      <c r="AE27" s="842">
        <v>14</v>
      </c>
      <c r="AF27" s="833">
        <f t="shared" si="30"/>
        <v>56</v>
      </c>
      <c r="AG27" s="833"/>
      <c r="AH27" s="833"/>
      <c r="AI27" s="834">
        <v>8</v>
      </c>
      <c r="AJ27" s="831">
        <v>2</v>
      </c>
      <c r="AK27" s="831">
        <v>11</v>
      </c>
      <c r="AL27" s="831">
        <v>9</v>
      </c>
      <c r="AM27" s="831">
        <v>13</v>
      </c>
      <c r="AN27" s="831">
        <v>2</v>
      </c>
      <c r="AO27" s="842">
        <v>13</v>
      </c>
      <c r="AP27" s="833">
        <f t="shared" si="31"/>
        <v>58</v>
      </c>
      <c r="AQ27" s="833"/>
      <c r="AR27" s="833"/>
      <c r="AS27" s="844"/>
    </row>
    <row r="28" spans="1:45" ht="16.5" customHeight="1">
      <c r="A28" s="845" t="str">
        <f t="shared" si="34"/>
        <v xml:space="preserve"> 이마트0온라인</v>
      </c>
      <c r="B28" s="865"/>
      <c r="C28" s="841">
        <v>2026002014</v>
      </c>
      <c r="D28" s="823" t="s">
        <v>664</v>
      </c>
      <c r="E28" s="831">
        <v>10</v>
      </c>
      <c r="F28" s="831">
        <v>14</v>
      </c>
      <c r="G28" s="831">
        <v>15</v>
      </c>
      <c r="H28" s="831">
        <v>7</v>
      </c>
      <c r="I28" s="831">
        <v>12</v>
      </c>
      <c r="J28" s="831">
        <v>11</v>
      </c>
      <c r="K28" s="842">
        <v>18</v>
      </c>
      <c r="L28" s="832">
        <f t="shared" si="28"/>
        <v>87</v>
      </c>
      <c r="M28" s="833"/>
      <c r="N28" s="833"/>
      <c r="O28" s="834">
        <v>20</v>
      </c>
      <c r="P28" s="831">
        <v>5</v>
      </c>
      <c r="Q28" s="831">
        <v>4</v>
      </c>
      <c r="R28" s="831">
        <v>8</v>
      </c>
      <c r="S28" s="831">
        <v>11</v>
      </c>
      <c r="T28" s="831">
        <v>8</v>
      </c>
      <c r="U28" s="842">
        <v>18</v>
      </c>
      <c r="V28" s="833">
        <f t="shared" si="29"/>
        <v>74</v>
      </c>
      <c r="W28" s="833"/>
      <c r="X28" s="833"/>
      <c r="Y28" s="834">
        <v>11</v>
      </c>
      <c r="Z28" s="831">
        <v>9</v>
      </c>
      <c r="AA28" s="831">
        <v>17</v>
      </c>
      <c r="AB28" s="831">
        <v>15</v>
      </c>
      <c r="AC28" s="831">
        <v>8</v>
      </c>
      <c r="AD28" s="831">
        <v>18</v>
      </c>
      <c r="AE28" s="842">
        <v>22</v>
      </c>
      <c r="AF28" s="833">
        <f t="shared" si="30"/>
        <v>100</v>
      </c>
      <c r="AG28" s="833"/>
      <c r="AH28" s="833"/>
      <c r="AI28" s="834">
        <v>10</v>
      </c>
      <c r="AJ28" s="831">
        <v>12</v>
      </c>
      <c r="AK28" s="831">
        <v>14</v>
      </c>
      <c r="AL28" s="831">
        <v>15</v>
      </c>
      <c r="AM28" s="831">
        <v>11</v>
      </c>
      <c r="AN28" s="831">
        <v>1</v>
      </c>
      <c r="AO28" s="842">
        <v>10</v>
      </c>
      <c r="AP28" s="833">
        <f t="shared" si="31"/>
        <v>73</v>
      </c>
      <c r="AQ28" s="833"/>
      <c r="AR28" s="833"/>
      <c r="AS28" s="844"/>
    </row>
    <row r="29" spans="1:45" ht="16.5" customHeight="1">
      <c r="A29" s="846" t="str">
        <f t="shared" si="34"/>
        <v xml:space="preserve"> 이마트0온라인</v>
      </c>
      <c r="B29" s="1006"/>
      <c r="C29" s="847">
        <v>2026003008</v>
      </c>
      <c r="D29" s="835" t="s">
        <v>665</v>
      </c>
      <c r="E29" s="836">
        <v>9</v>
      </c>
      <c r="F29" s="836">
        <v>12</v>
      </c>
      <c r="G29" s="836">
        <v>6</v>
      </c>
      <c r="H29" s="836">
        <v>3</v>
      </c>
      <c r="I29" s="836">
        <v>8</v>
      </c>
      <c r="J29" s="836">
        <v>3</v>
      </c>
      <c r="K29" s="848">
        <v>3</v>
      </c>
      <c r="L29" s="837">
        <f t="shared" si="28"/>
        <v>44</v>
      </c>
      <c r="M29" s="838"/>
      <c r="N29" s="838"/>
      <c r="O29" s="839">
        <v>6</v>
      </c>
      <c r="P29" s="836">
        <v>3</v>
      </c>
      <c r="Q29" s="836">
        <v>8</v>
      </c>
      <c r="R29" s="836">
        <v>4</v>
      </c>
      <c r="S29" s="836">
        <v>11</v>
      </c>
      <c r="T29" s="836">
        <v>1</v>
      </c>
      <c r="U29" s="848">
        <v>7</v>
      </c>
      <c r="V29" s="838">
        <f t="shared" si="29"/>
        <v>40</v>
      </c>
      <c r="W29" s="838"/>
      <c r="X29" s="838"/>
      <c r="Y29" s="839">
        <v>9</v>
      </c>
      <c r="Z29" s="836">
        <v>7</v>
      </c>
      <c r="AA29" s="836">
        <v>2</v>
      </c>
      <c r="AB29" s="836">
        <v>6</v>
      </c>
      <c r="AC29" s="836">
        <v>4</v>
      </c>
      <c r="AD29" s="836">
        <v>6</v>
      </c>
      <c r="AE29" s="848">
        <v>5</v>
      </c>
      <c r="AF29" s="838">
        <f t="shared" si="30"/>
        <v>39</v>
      </c>
      <c r="AG29" s="838"/>
      <c r="AH29" s="838"/>
      <c r="AI29" s="839">
        <v>12</v>
      </c>
      <c r="AJ29" s="836">
        <v>5</v>
      </c>
      <c r="AK29" s="836">
        <v>5</v>
      </c>
      <c r="AL29" s="836">
        <v>3</v>
      </c>
      <c r="AM29" s="836">
        <v>7</v>
      </c>
      <c r="AN29" s="836">
        <v>3</v>
      </c>
      <c r="AO29" s="848">
        <v>12</v>
      </c>
      <c r="AP29" s="838">
        <f t="shared" si="31"/>
        <v>47</v>
      </c>
      <c r="AQ29" s="838"/>
      <c r="AR29" s="838"/>
      <c r="AS29" s="844"/>
    </row>
    <row r="30" spans="1:45" ht="16.5" customHeight="1">
      <c r="A30" s="840" t="s">
        <v>673</v>
      </c>
      <c r="B30" s="1005" t="s">
        <v>673</v>
      </c>
      <c r="C30" s="841">
        <v>2025004021</v>
      </c>
      <c r="D30" s="823" t="s">
        <v>660</v>
      </c>
      <c r="E30" s="831">
        <v>2</v>
      </c>
      <c r="F30" s="831">
        <v>16</v>
      </c>
      <c r="G30" s="831">
        <v>7</v>
      </c>
      <c r="H30" s="831">
        <v>9</v>
      </c>
      <c r="I30" s="831">
        <v>7</v>
      </c>
      <c r="J30" s="831">
        <v>5</v>
      </c>
      <c r="K30" s="842">
        <v>5</v>
      </c>
      <c r="L30" s="832">
        <f t="shared" si="28"/>
        <v>51</v>
      </c>
      <c r="M30" s="833"/>
      <c r="N30" s="833"/>
      <c r="O30" s="834">
        <v>8</v>
      </c>
      <c r="P30" s="831">
        <v>1</v>
      </c>
      <c r="Q30" s="831">
        <v>4</v>
      </c>
      <c r="R30" s="831">
        <v>0</v>
      </c>
      <c r="S30" s="831">
        <v>0</v>
      </c>
      <c r="T30" s="831">
        <v>4</v>
      </c>
      <c r="U30" s="842">
        <v>14</v>
      </c>
      <c r="V30" s="833">
        <f t="shared" si="29"/>
        <v>31</v>
      </c>
      <c r="W30" s="833"/>
      <c r="X30" s="833"/>
      <c r="Y30" s="834">
        <v>3</v>
      </c>
      <c r="Z30" s="831">
        <v>8</v>
      </c>
      <c r="AA30" s="831">
        <v>9</v>
      </c>
      <c r="AB30" s="831">
        <v>11</v>
      </c>
      <c r="AC30" s="831">
        <v>5</v>
      </c>
      <c r="AD30" s="831">
        <v>0</v>
      </c>
      <c r="AE30" s="842">
        <v>1</v>
      </c>
      <c r="AF30" s="833">
        <f t="shared" si="30"/>
        <v>37</v>
      </c>
      <c r="AG30" s="833"/>
      <c r="AH30" s="833"/>
      <c r="AI30" s="834">
        <v>3</v>
      </c>
      <c r="AJ30" s="831">
        <v>17</v>
      </c>
      <c r="AK30" s="831">
        <v>23</v>
      </c>
      <c r="AL30" s="831">
        <v>30</v>
      </c>
      <c r="AM30" s="831">
        <v>5</v>
      </c>
      <c r="AN30" s="831">
        <v>4</v>
      </c>
      <c r="AO30" s="842">
        <v>13</v>
      </c>
      <c r="AP30" s="833">
        <f t="shared" si="31"/>
        <v>95</v>
      </c>
      <c r="AQ30" s="833"/>
      <c r="AR30" s="833"/>
      <c r="AS30" s="844"/>
    </row>
    <row r="31" spans="1:45" ht="16.5" customHeight="1">
      <c r="A31" s="845" t="str">
        <f t="shared" ref="A31:A35" si="35">A30</f>
        <v xml:space="preserve"> 이마트0ssg</v>
      </c>
      <c r="B31" s="865"/>
      <c r="C31" s="841">
        <v>2025005026</v>
      </c>
      <c r="D31" s="823" t="s">
        <v>661</v>
      </c>
      <c r="E31" s="831">
        <v>4</v>
      </c>
      <c r="F31" s="831">
        <v>3</v>
      </c>
      <c r="G31" s="831">
        <v>2</v>
      </c>
      <c r="H31" s="831">
        <v>4</v>
      </c>
      <c r="I31" s="831">
        <v>3</v>
      </c>
      <c r="J31" s="831">
        <v>5</v>
      </c>
      <c r="K31" s="842">
        <v>4</v>
      </c>
      <c r="L31" s="832">
        <f t="shared" si="28"/>
        <v>25</v>
      </c>
      <c r="M31" s="833"/>
      <c r="N31" s="833"/>
      <c r="O31" s="834">
        <v>2</v>
      </c>
      <c r="P31" s="831">
        <v>2</v>
      </c>
      <c r="Q31" s="831">
        <v>13</v>
      </c>
      <c r="R31" s="831">
        <v>20</v>
      </c>
      <c r="S31" s="831">
        <v>3</v>
      </c>
      <c r="T31" s="831">
        <v>2</v>
      </c>
      <c r="U31" s="842">
        <v>6</v>
      </c>
      <c r="V31" s="833">
        <f t="shared" si="29"/>
        <v>48</v>
      </c>
      <c r="W31" s="833"/>
      <c r="X31" s="833"/>
      <c r="Y31" s="834">
        <v>7</v>
      </c>
      <c r="Z31" s="831">
        <v>2</v>
      </c>
      <c r="AA31" s="831">
        <v>5</v>
      </c>
      <c r="AB31" s="831">
        <v>1</v>
      </c>
      <c r="AC31" s="831">
        <v>4</v>
      </c>
      <c r="AD31" s="831">
        <v>0</v>
      </c>
      <c r="AE31" s="842">
        <v>2</v>
      </c>
      <c r="AF31" s="833">
        <f t="shared" si="30"/>
        <v>21</v>
      </c>
      <c r="AG31" s="833"/>
      <c r="AH31" s="833"/>
      <c r="AI31" s="834">
        <v>8</v>
      </c>
      <c r="AJ31" s="831">
        <v>4</v>
      </c>
      <c r="AK31" s="831">
        <v>9</v>
      </c>
      <c r="AL31" s="831">
        <v>6</v>
      </c>
      <c r="AM31" s="831">
        <v>3</v>
      </c>
      <c r="AN31" s="831">
        <v>1</v>
      </c>
      <c r="AO31" s="842">
        <v>6</v>
      </c>
      <c r="AP31" s="833">
        <f t="shared" si="31"/>
        <v>37</v>
      </c>
      <c r="AQ31" s="833"/>
      <c r="AR31" s="833"/>
      <c r="AS31" s="844"/>
    </row>
    <row r="32" spans="1:45" ht="16.5" customHeight="1">
      <c r="A32" s="845" t="str">
        <f t="shared" si="35"/>
        <v xml:space="preserve"> 이마트0ssg</v>
      </c>
      <c r="B32" s="865"/>
      <c r="C32" s="841">
        <v>2025005018</v>
      </c>
      <c r="D32" s="823" t="s">
        <v>662</v>
      </c>
      <c r="E32" s="831">
        <v>2</v>
      </c>
      <c r="F32" s="831">
        <v>8</v>
      </c>
      <c r="G32" s="831">
        <v>1</v>
      </c>
      <c r="H32" s="831">
        <v>1</v>
      </c>
      <c r="I32" s="831">
        <v>1</v>
      </c>
      <c r="J32" s="831">
        <v>0</v>
      </c>
      <c r="K32" s="842">
        <v>3</v>
      </c>
      <c r="L32" s="832">
        <f t="shared" si="28"/>
        <v>16</v>
      </c>
      <c r="M32" s="833"/>
      <c r="N32" s="833"/>
      <c r="O32" s="834">
        <v>2</v>
      </c>
      <c r="P32" s="831">
        <v>0</v>
      </c>
      <c r="Q32" s="831">
        <v>0</v>
      </c>
      <c r="R32" s="831">
        <v>2</v>
      </c>
      <c r="S32" s="831">
        <v>4</v>
      </c>
      <c r="T32" s="831">
        <v>0</v>
      </c>
      <c r="U32" s="842">
        <v>1</v>
      </c>
      <c r="V32" s="833">
        <f t="shared" si="29"/>
        <v>9</v>
      </c>
      <c r="W32" s="833"/>
      <c r="X32" s="833"/>
      <c r="Y32" s="834">
        <v>2</v>
      </c>
      <c r="Z32" s="831">
        <v>2</v>
      </c>
      <c r="AA32" s="831">
        <v>0</v>
      </c>
      <c r="AB32" s="831">
        <v>1</v>
      </c>
      <c r="AC32" s="831">
        <v>2</v>
      </c>
      <c r="AD32" s="831">
        <v>1</v>
      </c>
      <c r="AE32" s="842">
        <v>10</v>
      </c>
      <c r="AF32" s="833">
        <f t="shared" si="30"/>
        <v>18</v>
      </c>
      <c r="AG32" s="833"/>
      <c r="AH32" s="833"/>
      <c r="AI32" s="834">
        <v>3</v>
      </c>
      <c r="AJ32" s="831">
        <v>2</v>
      </c>
      <c r="AK32" s="831">
        <v>0</v>
      </c>
      <c r="AL32" s="831">
        <v>0</v>
      </c>
      <c r="AM32" s="831">
        <v>1</v>
      </c>
      <c r="AN32" s="831">
        <v>2</v>
      </c>
      <c r="AO32" s="842">
        <v>3</v>
      </c>
      <c r="AP32" s="833">
        <f t="shared" si="31"/>
        <v>11</v>
      </c>
      <c r="AQ32" s="833"/>
      <c r="AR32" s="833"/>
      <c r="AS32" s="844"/>
    </row>
    <row r="33" spans="1:45" ht="16.5" customHeight="1">
      <c r="A33" s="845" t="str">
        <f t="shared" si="35"/>
        <v xml:space="preserve"> 이마트0ssg</v>
      </c>
      <c r="B33" s="865"/>
      <c r="C33" s="841">
        <v>2026004010</v>
      </c>
      <c r="D33" s="823" t="s">
        <v>663</v>
      </c>
      <c r="E33" s="831">
        <v>16</v>
      </c>
      <c r="F33" s="831">
        <v>4</v>
      </c>
      <c r="G33" s="831">
        <v>5</v>
      </c>
      <c r="H33" s="831">
        <v>8</v>
      </c>
      <c r="I33" s="831">
        <v>3</v>
      </c>
      <c r="J33" s="831">
        <v>2</v>
      </c>
      <c r="K33" s="842">
        <v>19</v>
      </c>
      <c r="L33" s="832">
        <f t="shared" si="28"/>
        <v>57</v>
      </c>
      <c r="M33" s="833"/>
      <c r="N33" s="833"/>
      <c r="O33" s="834">
        <v>12</v>
      </c>
      <c r="P33" s="831">
        <v>11</v>
      </c>
      <c r="Q33" s="831">
        <v>4</v>
      </c>
      <c r="R33" s="831">
        <v>8</v>
      </c>
      <c r="S33" s="831">
        <v>4</v>
      </c>
      <c r="T33" s="831">
        <v>8</v>
      </c>
      <c r="U33" s="842">
        <v>8</v>
      </c>
      <c r="V33" s="833">
        <f t="shared" si="29"/>
        <v>55</v>
      </c>
      <c r="W33" s="833"/>
      <c r="X33" s="833"/>
      <c r="Y33" s="834">
        <v>13</v>
      </c>
      <c r="Z33" s="831">
        <v>6</v>
      </c>
      <c r="AA33" s="831">
        <v>14</v>
      </c>
      <c r="AB33" s="831">
        <v>11</v>
      </c>
      <c r="AC33" s="831">
        <v>7</v>
      </c>
      <c r="AD33" s="831">
        <v>2</v>
      </c>
      <c r="AE33" s="842">
        <v>13</v>
      </c>
      <c r="AF33" s="833">
        <f t="shared" si="30"/>
        <v>66</v>
      </c>
      <c r="AG33" s="833"/>
      <c r="AH33" s="833"/>
      <c r="AI33" s="834">
        <v>24</v>
      </c>
      <c r="AJ33" s="831">
        <v>1</v>
      </c>
      <c r="AK33" s="831">
        <v>13</v>
      </c>
      <c r="AL33" s="831">
        <v>8</v>
      </c>
      <c r="AM33" s="831">
        <v>5</v>
      </c>
      <c r="AN33" s="831">
        <v>3</v>
      </c>
      <c r="AO33" s="842">
        <v>5</v>
      </c>
      <c r="AP33" s="833">
        <f t="shared" si="31"/>
        <v>59</v>
      </c>
      <c r="AQ33" s="833"/>
      <c r="AR33" s="833"/>
      <c r="AS33" s="844"/>
    </row>
    <row r="34" spans="1:45" ht="16.5" customHeight="1">
      <c r="A34" s="845" t="str">
        <f t="shared" si="35"/>
        <v xml:space="preserve"> 이마트0ssg</v>
      </c>
      <c r="B34" s="865"/>
      <c r="C34" s="841">
        <v>2026002014</v>
      </c>
      <c r="D34" s="823" t="s">
        <v>664</v>
      </c>
      <c r="E34" s="831">
        <v>8</v>
      </c>
      <c r="F34" s="831">
        <v>13</v>
      </c>
      <c r="G34" s="831">
        <v>5</v>
      </c>
      <c r="H34" s="831">
        <v>5</v>
      </c>
      <c r="I34" s="831">
        <v>6</v>
      </c>
      <c r="J34" s="831">
        <v>3</v>
      </c>
      <c r="K34" s="842">
        <v>7</v>
      </c>
      <c r="L34" s="832">
        <f t="shared" si="28"/>
        <v>47</v>
      </c>
      <c r="M34" s="833"/>
      <c r="N34" s="833"/>
      <c r="O34" s="834">
        <v>12</v>
      </c>
      <c r="P34" s="831">
        <v>6</v>
      </c>
      <c r="Q34" s="831">
        <v>12</v>
      </c>
      <c r="R34" s="831">
        <v>12</v>
      </c>
      <c r="S34" s="831">
        <v>2</v>
      </c>
      <c r="T34" s="831">
        <v>2</v>
      </c>
      <c r="U34" s="842">
        <v>10</v>
      </c>
      <c r="V34" s="833">
        <f t="shared" si="29"/>
        <v>56</v>
      </c>
      <c r="W34" s="833"/>
      <c r="X34" s="833"/>
      <c r="Y34" s="834">
        <v>8</v>
      </c>
      <c r="Z34" s="831">
        <v>17</v>
      </c>
      <c r="AA34" s="831">
        <v>5</v>
      </c>
      <c r="AB34" s="831">
        <v>6</v>
      </c>
      <c r="AC34" s="831">
        <v>10</v>
      </c>
      <c r="AD34" s="831">
        <v>7</v>
      </c>
      <c r="AE34" s="842">
        <v>9</v>
      </c>
      <c r="AF34" s="833">
        <f t="shared" si="30"/>
        <v>62</v>
      </c>
      <c r="AG34" s="833"/>
      <c r="AH34" s="833"/>
      <c r="AI34" s="834">
        <v>24</v>
      </c>
      <c r="AJ34" s="831">
        <v>16</v>
      </c>
      <c r="AK34" s="831">
        <v>18</v>
      </c>
      <c r="AL34" s="831">
        <v>11</v>
      </c>
      <c r="AM34" s="831">
        <v>5</v>
      </c>
      <c r="AN34" s="831">
        <v>5</v>
      </c>
      <c r="AO34" s="842">
        <v>18</v>
      </c>
      <c r="AP34" s="833">
        <f t="shared" si="31"/>
        <v>97</v>
      </c>
      <c r="AQ34" s="833"/>
      <c r="AR34" s="833"/>
      <c r="AS34" s="844"/>
    </row>
    <row r="35" spans="1:45" ht="16.5" customHeight="1">
      <c r="A35" s="846" t="str">
        <f t="shared" si="35"/>
        <v xml:space="preserve"> 이마트0ssg</v>
      </c>
      <c r="B35" s="1006"/>
      <c r="C35" s="847">
        <v>2026003008</v>
      </c>
      <c r="D35" s="835" t="s">
        <v>665</v>
      </c>
      <c r="E35" s="836">
        <v>6</v>
      </c>
      <c r="F35" s="836">
        <v>3</v>
      </c>
      <c r="G35" s="836">
        <v>2</v>
      </c>
      <c r="H35" s="836">
        <v>8</v>
      </c>
      <c r="I35" s="836">
        <v>1</v>
      </c>
      <c r="J35" s="836">
        <v>2</v>
      </c>
      <c r="K35" s="848">
        <v>3</v>
      </c>
      <c r="L35" s="837">
        <f t="shared" si="28"/>
        <v>25</v>
      </c>
      <c r="M35" s="838"/>
      <c r="N35" s="838"/>
      <c r="O35" s="839">
        <v>4</v>
      </c>
      <c r="P35" s="836">
        <v>3</v>
      </c>
      <c r="Q35" s="836">
        <v>3</v>
      </c>
      <c r="R35" s="836">
        <v>15</v>
      </c>
      <c r="S35" s="836">
        <v>2</v>
      </c>
      <c r="T35" s="836">
        <v>1</v>
      </c>
      <c r="U35" s="848">
        <v>4</v>
      </c>
      <c r="V35" s="838">
        <f t="shared" si="29"/>
        <v>32</v>
      </c>
      <c r="W35" s="838"/>
      <c r="X35" s="838"/>
      <c r="Y35" s="839">
        <v>2</v>
      </c>
      <c r="Z35" s="836">
        <v>3</v>
      </c>
      <c r="AA35" s="836">
        <v>1</v>
      </c>
      <c r="AB35" s="836">
        <v>1</v>
      </c>
      <c r="AC35" s="836">
        <v>1</v>
      </c>
      <c r="AD35" s="836">
        <v>1</v>
      </c>
      <c r="AE35" s="848">
        <v>6</v>
      </c>
      <c r="AF35" s="838">
        <f t="shared" si="30"/>
        <v>15</v>
      </c>
      <c r="AG35" s="838"/>
      <c r="AH35" s="838"/>
      <c r="AI35" s="839">
        <v>10</v>
      </c>
      <c r="AJ35" s="836">
        <v>3</v>
      </c>
      <c r="AK35" s="836">
        <v>4</v>
      </c>
      <c r="AL35" s="836">
        <v>2</v>
      </c>
      <c r="AM35" s="836">
        <v>4</v>
      </c>
      <c r="AN35" s="836">
        <v>5</v>
      </c>
      <c r="AO35" s="848">
        <v>5</v>
      </c>
      <c r="AP35" s="838">
        <f t="shared" si="31"/>
        <v>33</v>
      </c>
      <c r="AQ35" s="838"/>
      <c r="AR35" s="838"/>
      <c r="AS35" s="844"/>
    </row>
    <row r="36" spans="1:45" ht="16.5" customHeight="1">
      <c r="A36" s="840" t="s">
        <v>674</v>
      </c>
      <c r="B36" s="1005" t="s">
        <v>674</v>
      </c>
      <c r="C36" s="841">
        <v>2025004021</v>
      </c>
      <c r="D36" s="823" t="s">
        <v>660</v>
      </c>
      <c r="E36" s="831">
        <v>39</v>
      </c>
      <c r="F36" s="831">
        <v>23</v>
      </c>
      <c r="G36" s="831">
        <v>28</v>
      </c>
      <c r="H36" s="831">
        <v>35</v>
      </c>
      <c r="I36" s="831">
        <v>23</v>
      </c>
      <c r="J36" s="831">
        <v>30</v>
      </c>
      <c r="K36" s="842">
        <v>14</v>
      </c>
      <c r="L36" s="832">
        <f t="shared" si="28"/>
        <v>192</v>
      </c>
      <c r="M36" s="833"/>
      <c r="N36" s="833"/>
      <c r="O36" s="834">
        <v>17</v>
      </c>
      <c r="P36" s="831">
        <v>22</v>
      </c>
      <c r="Q36" s="831">
        <v>12</v>
      </c>
      <c r="R36" s="831">
        <v>29</v>
      </c>
      <c r="S36" s="831">
        <v>29</v>
      </c>
      <c r="T36" s="831">
        <v>14</v>
      </c>
      <c r="U36" s="842">
        <v>32</v>
      </c>
      <c r="V36" s="833">
        <f t="shared" si="29"/>
        <v>155</v>
      </c>
      <c r="W36" s="833"/>
      <c r="X36" s="833"/>
      <c r="Y36" s="834">
        <v>14</v>
      </c>
      <c r="Z36" s="831">
        <v>22</v>
      </c>
      <c r="AA36" s="831">
        <v>21</v>
      </c>
      <c r="AB36" s="831">
        <v>20</v>
      </c>
      <c r="AC36" s="831">
        <v>38</v>
      </c>
      <c r="AD36" s="831">
        <v>35</v>
      </c>
      <c r="AE36" s="842">
        <v>26</v>
      </c>
      <c r="AF36" s="833">
        <f t="shared" si="30"/>
        <v>176</v>
      </c>
      <c r="AG36" s="833"/>
      <c r="AH36" s="833"/>
      <c r="AI36" s="834">
        <v>9</v>
      </c>
      <c r="AJ36" s="831">
        <v>8</v>
      </c>
      <c r="AK36" s="831">
        <v>23</v>
      </c>
      <c r="AL36" s="831">
        <v>13</v>
      </c>
      <c r="AM36" s="831">
        <v>49</v>
      </c>
      <c r="AN36" s="831">
        <v>7</v>
      </c>
      <c r="AO36" s="842">
        <v>21</v>
      </c>
      <c r="AP36" s="833">
        <f t="shared" si="31"/>
        <v>130</v>
      </c>
      <c r="AQ36" s="833"/>
      <c r="AR36" s="833"/>
      <c r="AS36" s="844"/>
    </row>
    <row r="37" spans="1:45" ht="16.5" customHeight="1">
      <c r="A37" s="845" t="str">
        <f t="shared" ref="A37:A41" si="36">A36</f>
        <v xml:space="preserve"> 이마트0오프라인</v>
      </c>
      <c r="B37" s="865"/>
      <c r="C37" s="841">
        <v>2025005026</v>
      </c>
      <c r="D37" s="823" t="s">
        <v>661</v>
      </c>
      <c r="E37" s="831">
        <v>28</v>
      </c>
      <c r="F37" s="831">
        <v>16</v>
      </c>
      <c r="G37" s="831">
        <v>29</v>
      </c>
      <c r="H37" s="831">
        <v>12</v>
      </c>
      <c r="I37" s="831">
        <v>20</v>
      </c>
      <c r="J37" s="831">
        <v>24</v>
      </c>
      <c r="K37" s="842">
        <v>16</v>
      </c>
      <c r="L37" s="832">
        <f t="shared" si="28"/>
        <v>145</v>
      </c>
      <c r="M37" s="833"/>
      <c r="N37" s="833"/>
      <c r="O37" s="834">
        <v>14</v>
      </c>
      <c r="P37" s="831">
        <v>26</v>
      </c>
      <c r="Q37" s="831">
        <v>20</v>
      </c>
      <c r="R37" s="831">
        <v>17</v>
      </c>
      <c r="S37" s="831">
        <v>30</v>
      </c>
      <c r="T37" s="831">
        <v>24</v>
      </c>
      <c r="U37" s="842">
        <v>12</v>
      </c>
      <c r="V37" s="833">
        <f t="shared" si="29"/>
        <v>143</v>
      </c>
      <c r="W37" s="833"/>
      <c r="X37" s="833"/>
      <c r="Y37" s="834">
        <v>13</v>
      </c>
      <c r="Z37" s="831">
        <v>32</v>
      </c>
      <c r="AA37" s="831">
        <v>20</v>
      </c>
      <c r="AB37" s="831">
        <v>19</v>
      </c>
      <c r="AC37" s="831">
        <v>23</v>
      </c>
      <c r="AD37" s="831">
        <v>20</v>
      </c>
      <c r="AE37" s="842">
        <v>13</v>
      </c>
      <c r="AF37" s="833">
        <f t="shared" si="30"/>
        <v>140</v>
      </c>
      <c r="AG37" s="833"/>
      <c r="AH37" s="833"/>
      <c r="AI37" s="834">
        <v>18</v>
      </c>
      <c r="AJ37" s="831">
        <v>9</v>
      </c>
      <c r="AK37" s="831">
        <v>14</v>
      </c>
      <c r="AL37" s="831">
        <v>29</v>
      </c>
      <c r="AM37" s="831">
        <v>30</v>
      </c>
      <c r="AN37" s="831">
        <v>14</v>
      </c>
      <c r="AO37" s="842">
        <v>18</v>
      </c>
      <c r="AP37" s="833">
        <f t="shared" si="31"/>
        <v>132</v>
      </c>
      <c r="AQ37" s="833"/>
      <c r="AR37" s="833"/>
      <c r="AS37" s="844"/>
    </row>
    <row r="38" spans="1:45" ht="16.5" customHeight="1">
      <c r="A38" s="845" t="str">
        <f t="shared" si="36"/>
        <v xml:space="preserve"> 이마트0오프라인</v>
      </c>
      <c r="B38" s="865"/>
      <c r="C38" s="841">
        <v>2025005018</v>
      </c>
      <c r="D38" s="823" t="s">
        <v>662</v>
      </c>
      <c r="E38" s="831">
        <v>21</v>
      </c>
      <c r="F38" s="831">
        <v>10</v>
      </c>
      <c r="G38" s="831">
        <v>7</v>
      </c>
      <c r="H38" s="831">
        <v>13</v>
      </c>
      <c r="I38" s="831">
        <v>18</v>
      </c>
      <c r="J38" s="831">
        <v>24</v>
      </c>
      <c r="K38" s="842">
        <v>14</v>
      </c>
      <c r="L38" s="832">
        <f t="shared" si="28"/>
        <v>107</v>
      </c>
      <c r="M38" s="833"/>
      <c r="N38" s="833"/>
      <c r="O38" s="834">
        <v>9</v>
      </c>
      <c r="P38" s="831">
        <v>10</v>
      </c>
      <c r="Q38" s="831">
        <v>16</v>
      </c>
      <c r="R38" s="831">
        <v>18</v>
      </c>
      <c r="S38" s="831">
        <v>24</v>
      </c>
      <c r="T38" s="831">
        <v>20</v>
      </c>
      <c r="U38" s="842">
        <v>12</v>
      </c>
      <c r="V38" s="833">
        <f t="shared" si="29"/>
        <v>109</v>
      </c>
      <c r="W38" s="833"/>
      <c r="X38" s="833"/>
      <c r="Y38" s="834">
        <v>11</v>
      </c>
      <c r="Z38" s="831">
        <v>6</v>
      </c>
      <c r="AA38" s="831">
        <v>14</v>
      </c>
      <c r="AB38" s="831">
        <v>18</v>
      </c>
      <c r="AC38" s="831">
        <v>23</v>
      </c>
      <c r="AD38" s="831">
        <v>20</v>
      </c>
      <c r="AE38" s="842">
        <v>16</v>
      </c>
      <c r="AF38" s="833">
        <f t="shared" si="30"/>
        <v>108</v>
      </c>
      <c r="AG38" s="833"/>
      <c r="AH38" s="833"/>
      <c r="AI38" s="834">
        <v>13</v>
      </c>
      <c r="AJ38" s="831">
        <v>9</v>
      </c>
      <c r="AK38" s="831">
        <v>11</v>
      </c>
      <c r="AL38" s="831">
        <v>9</v>
      </c>
      <c r="AM38" s="831">
        <v>20</v>
      </c>
      <c r="AN38" s="831">
        <v>11</v>
      </c>
      <c r="AO38" s="842">
        <v>12</v>
      </c>
      <c r="AP38" s="833">
        <f t="shared" si="31"/>
        <v>85</v>
      </c>
      <c r="AQ38" s="833"/>
      <c r="AR38" s="833"/>
      <c r="AS38" s="844"/>
    </row>
    <row r="39" spans="1:45" ht="16.5" customHeight="1">
      <c r="A39" s="845" t="str">
        <f t="shared" si="36"/>
        <v xml:space="preserve"> 이마트0오프라인</v>
      </c>
      <c r="B39" s="865"/>
      <c r="C39" s="841">
        <v>2026004010</v>
      </c>
      <c r="D39" s="823" t="s">
        <v>663</v>
      </c>
      <c r="E39" s="831">
        <v>35</v>
      </c>
      <c r="F39" s="831">
        <v>37</v>
      </c>
      <c r="G39" s="831">
        <v>45</v>
      </c>
      <c r="H39" s="831">
        <v>43</v>
      </c>
      <c r="I39" s="831">
        <v>39</v>
      </c>
      <c r="J39" s="831">
        <v>48</v>
      </c>
      <c r="K39" s="842">
        <v>17</v>
      </c>
      <c r="L39" s="832">
        <f t="shared" si="28"/>
        <v>264</v>
      </c>
      <c r="M39" s="833"/>
      <c r="N39" s="833"/>
      <c r="O39" s="834">
        <v>30</v>
      </c>
      <c r="P39" s="831">
        <v>43</v>
      </c>
      <c r="Q39" s="831">
        <v>28</v>
      </c>
      <c r="R39" s="831">
        <v>35</v>
      </c>
      <c r="S39" s="831">
        <v>26</v>
      </c>
      <c r="T39" s="831">
        <v>23</v>
      </c>
      <c r="U39" s="842">
        <v>38</v>
      </c>
      <c r="V39" s="833">
        <f t="shared" si="29"/>
        <v>223</v>
      </c>
      <c r="W39" s="833"/>
      <c r="X39" s="833"/>
      <c r="Y39" s="834">
        <v>42</v>
      </c>
      <c r="Z39" s="831">
        <v>39</v>
      </c>
      <c r="AA39" s="831">
        <v>35</v>
      </c>
      <c r="AB39" s="831">
        <v>35</v>
      </c>
      <c r="AC39" s="831">
        <v>59</v>
      </c>
      <c r="AD39" s="831">
        <v>58</v>
      </c>
      <c r="AE39" s="842">
        <v>38</v>
      </c>
      <c r="AF39" s="833">
        <f t="shared" si="30"/>
        <v>306</v>
      </c>
      <c r="AG39" s="833"/>
      <c r="AH39" s="833"/>
      <c r="AI39" s="834">
        <v>29</v>
      </c>
      <c r="AJ39" s="831">
        <v>29</v>
      </c>
      <c r="AK39" s="831">
        <v>21</v>
      </c>
      <c r="AL39" s="831">
        <v>34</v>
      </c>
      <c r="AM39" s="831">
        <v>30</v>
      </c>
      <c r="AN39" s="831">
        <v>24</v>
      </c>
      <c r="AO39" s="842">
        <v>31</v>
      </c>
      <c r="AP39" s="833">
        <f t="shared" si="31"/>
        <v>198</v>
      </c>
      <c r="AQ39" s="833"/>
      <c r="AR39" s="833"/>
      <c r="AS39" s="844"/>
    </row>
    <row r="40" spans="1:45" ht="16.5" customHeight="1">
      <c r="A40" s="845" t="str">
        <f t="shared" si="36"/>
        <v xml:space="preserve"> 이마트0오프라인</v>
      </c>
      <c r="B40" s="865"/>
      <c r="C40" s="841">
        <v>2026002014</v>
      </c>
      <c r="D40" s="823" t="s">
        <v>664</v>
      </c>
      <c r="E40" s="831">
        <v>46</v>
      </c>
      <c r="F40" s="831">
        <v>25</v>
      </c>
      <c r="G40" s="831">
        <v>37</v>
      </c>
      <c r="H40" s="831">
        <v>39</v>
      </c>
      <c r="I40" s="831">
        <v>45</v>
      </c>
      <c r="J40" s="831">
        <v>48</v>
      </c>
      <c r="K40" s="842">
        <v>36</v>
      </c>
      <c r="L40" s="832">
        <f t="shared" si="28"/>
        <v>276</v>
      </c>
      <c r="M40" s="833"/>
      <c r="N40" s="833"/>
      <c r="O40" s="834">
        <v>40</v>
      </c>
      <c r="P40" s="831">
        <v>47</v>
      </c>
      <c r="Q40" s="831">
        <v>34</v>
      </c>
      <c r="R40" s="831">
        <v>27</v>
      </c>
      <c r="S40" s="831">
        <v>39</v>
      </c>
      <c r="T40" s="831">
        <v>29</v>
      </c>
      <c r="U40" s="842">
        <v>52</v>
      </c>
      <c r="V40" s="833">
        <f t="shared" si="29"/>
        <v>268</v>
      </c>
      <c r="W40" s="833"/>
      <c r="X40" s="833"/>
      <c r="Y40" s="834">
        <v>36</v>
      </c>
      <c r="Z40" s="831">
        <v>40</v>
      </c>
      <c r="AA40" s="831">
        <v>14</v>
      </c>
      <c r="AB40" s="831">
        <v>27</v>
      </c>
      <c r="AC40" s="831">
        <v>56</v>
      </c>
      <c r="AD40" s="831">
        <v>52</v>
      </c>
      <c r="AE40" s="842">
        <v>36</v>
      </c>
      <c r="AF40" s="833">
        <f t="shared" si="30"/>
        <v>261</v>
      </c>
      <c r="AG40" s="833"/>
      <c r="AH40" s="833"/>
      <c r="AI40" s="834">
        <v>25</v>
      </c>
      <c r="AJ40" s="831">
        <v>25</v>
      </c>
      <c r="AK40" s="831">
        <v>45</v>
      </c>
      <c r="AL40" s="831">
        <v>30</v>
      </c>
      <c r="AM40" s="831">
        <v>54</v>
      </c>
      <c r="AN40" s="831">
        <v>28</v>
      </c>
      <c r="AO40" s="842">
        <v>42</v>
      </c>
      <c r="AP40" s="833">
        <f t="shared" si="31"/>
        <v>249</v>
      </c>
      <c r="AQ40" s="833"/>
      <c r="AR40" s="833"/>
      <c r="AS40" s="844"/>
    </row>
    <row r="41" spans="1:45" ht="16.5" customHeight="1">
      <c r="A41" s="846" t="str">
        <f t="shared" si="36"/>
        <v xml:space="preserve"> 이마트0오프라인</v>
      </c>
      <c r="B41" s="1006"/>
      <c r="C41" s="847">
        <v>2026003008</v>
      </c>
      <c r="D41" s="835" t="s">
        <v>665</v>
      </c>
      <c r="E41" s="836">
        <v>28</v>
      </c>
      <c r="F41" s="836">
        <v>25</v>
      </c>
      <c r="G41" s="836">
        <v>20</v>
      </c>
      <c r="H41" s="836">
        <v>22</v>
      </c>
      <c r="I41" s="836">
        <v>25</v>
      </c>
      <c r="J41" s="836">
        <v>25</v>
      </c>
      <c r="K41" s="848">
        <v>28</v>
      </c>
      <c r="L41" s="837">
        <f t="shared" si="28"/>
        <v>173</v>
      </c>
      <c r="M41" s="838"/>
      <c r="N41" s="838"/>
      <c r="O41" s="839">
        <v>14</v>
      </c>
      <c r="P41" s="836">
        <v>19</v>
      </c>
      <c r="Q41" s="836">
        <v>26</v>
      </c>
      <c r="R41" s="836">
        <v>25</v>
      </c>
      <c r="S41" s="836">
        <v>34</v>
      </c>
      <c r="T41" s="836">
        <v>13</v>
      </c>
      <c r="U41" s="848">
        <v>27</v>
      </c>
      <c r="V41" s="838">
        <f t="shared" si="29"/>
        <v>158</v>
      </c>
      <c r="W41" s="838"/>
      <c r="X41" s="838"/>
      <c r="Y41" s="839">
        <v>23</v>
      </c>
      <c r="Z41" s="836">
        <v>19</v>
      </c>
      <c r="AA41" s="836">
        <v>30</v>
      </c>
      <c r="AB41" s="836">
        <v>20</v>
      </c>
      <c r="AC41" s="836">
        <v>35</v>
      </c>
      <c r="AD41" s="836">
        <v>32</v>
      </c>
      <c r="AE41" s="848">
        <v>9</v>
      </c>
      <c r="AF41" s="838">
        <f t="shared" si="30"/>
        <v>168</v>
      </c>
      <c r="AG41" s="838"/>
      <c r="AH41" s="838"/>
      <c r="AI41" s="839">
        <v>16</v>
      </c>
      <c r="AJ41" s="836">
        <v>17</v>
      </c>
      <c r="AK41" s="836">
        <v>27</v>
      </c>
      <c r="AL41" s="836">
        <v>24</v>
      </c>
      <c r="AM41" s="836">
        <v>36</v>
      </c>
      <c r="AN41" s="836">
        <v>10</v>
      </c>
      <c r="AO41" s="848">
        <v>23</v>
      </c>
      <c r="AP41" s="838">
        <f t="shared" si="31"/>
        <v>153</v>
      </c>
      <c r="AQ41" s="838"/>
      <c r="AR41" s="838"/>
      <c r="AS41" s="844"/>
    </row>
    <row r="42" spans="1:45" ht="16.5" customHeight="1">
      <c r="A42" s="840" t="s">
        <v>73</v>
      </c>
      <c r="B42" s="1005" t="s">
        <v>73</v>
      </c>
      <c r="C42" s="841">
        <v>2025004021</v>
      </c>
      <c r="D42" s="823" t="s">
        <v>660</v>
      </c>
      <c r="E42" s="831">
        <f t="shared" ref="E42:L42" si="37">E24+E30+E36</f>
        <v>43</v>
      </c>
      <c r="F42" s="831">
        <f t="shared" si="37"/>
        <v>45</v>
      </c>
      <c r="G42" s="831">
        <f t="shared" si="37"/>
        <v>47</v>
      </c>
      <c r="H42" s="831">
        <f t="shared" si="37"/>
        <v>57</v>
      </c>
      <c r="I42" s="831">
        <f t="shared" si="37"/>
        <v>38</v>
      </c>
      <c r="J42" s="831">
        <f t="shared" si="37"/>
        <v>39</v>
      </c>
      <c r="K42" s="831">
        <f t="shared" si="37"/>
        <v>26</v>
      </c>
      <c r="L42" s="832">
        <f t="shared" si="37"/>
        <v>295</v>
      </c>
      <c r="M42" s="833"/>
      <c r="N42" s="833"/>
      <c r="O42" s="834">
        <f t="shared" ref="O42:V42" si="38">O24+O30+O36</f>
        <v>40</v>
      </c>
      <c r="P42" s="831">
        <f t="shared" si="38"/>
        <v>27</v>
      </c>
      <c r="Q42" s="831">
        <f t="shared" si="38"/>
        <v>26</v>
      </c>
      <c r="R42" s="831">
        <f t="shared" si="38"/>
        <v>43</v>
      </c>
      <c r="S42" s="831">
        <f t="shared" si="38"/>
        <v>40</v>
      </c>
      <c r="T42" s="831">
        <f t="shared" si="38"/>
        <v>18</v>
      </c>
      <c r="U42" s="831">
        <f t="shared" si="38"/>
        <v>53</v>
      </c>
      <c r="V42" s="833">
        <f t="shared" si="38"/>
        <v>247</v>
      </c>
      <c r="W42" s="833"/>
      <c r="X42" s="833"/>
      <c r="Y42" s="831">
        <f t="shared" ref="Y42:AF42" si="39">Y24+Y30+Y36</f>
        <v>33</v>
      </c>
      <c r="Z42" s="831">
        <f t="shared" si="39"/>
        <v>39</v>
      </c>
      <c r="AA42" s="831">
        <f t="shared" si="39"/>
        <v>32</v>
      </c>
      <c r="AB42" s="831">
        <f t="shared" si="39"/>
        <v>37</v>
      </c>
      <c r="AC42" s="831">
        <f t="shared" si="39"/>
        <v>52</v>
      </c>
      <c r="AD42" s="831">
        <f t="shared" si="39"/>
        <v>46</v>
      </c>
      <c r="AE42" s="831">
        <f t="shared" si="39"/>
        <v>38</v>
      </c>
      <c r="AF42" s="833">
        <f t="shared" si="39"/>
        <v>277</v>
      </c>
      <c r="AG42" s="833"/>
      <c r="AH42" s="833"/>
      <c r="AI42" s="831">
        <f t="shared" ref="AI42:AP42" si="40">AI24+AI30+AI36</f>
        <v>19</v>
      </c>
      <c r="AJ42" s="831">
        <f t="shared" si="40"/>
        <v>31</v>
      </c>
      <c r="AK42" s="831">
        <f t="shared" si="40"/>
        <v>53</v>
      </c>
      <c r="AL42" s="831">
        <f t="shared" si="40"/>
        <v>52</v>
      </c>
      <c r="AM42" s="831">
        <f t="shared" si="40"/>
        <v>59</v>
      </c>
      <c r="AN42" s="831">
        <f t="shared" si="40"/>
        <v>17</v>
      </c>
      <c r="AO42" s="831">
        <f t="shared" si="40"/>
        <v>48</v>
      </c>
      <c r="AP42" s="833">
        <f t="shared" si="40"/>
        <v>279</v>
      </c>
      <c r="AQ42" s="833"/>
      <c r="AR42" s="833"/>
      <c r="AS42" s="844"/>
    </row>
    <row r="43" spans="1:45" ht="16.5" customHeight="1">
      <c r="A43" s="845" t="str">
        <f t="shared" ref="A43:A47" si="41">A42</f>
        <v>이마트</v>
      </c>
      <c r="B43" s="865"/>
      <c r="C43" s="841">
        <v>2025005026</v>
      </c>
      <c r="D43" s="823" t="s">
        <v>661</v>
      </c>
      <c r="E43" s="831">
        <f t="shared" ref="E43:L43" si="42">E25+E31+E37</f>
        <v>38</v>
      </c>
      <c r="F43" s="831">
        <f t="shared" si="42"/>
        <v>30</v>
      </c>
      <c r="G43" s="831">
        <f t="shared" si="42"/>
        <v>40</v>
      </c>
      <c r="H43" s="831">
        <f t="shared" si="42"/>
        <v>27</v>
      </c>
      <c r="I43" s="831">
        <f t="shared" si="42"/>
        <v>26</v>
      </c>
      <c r="J43" s="831">
        <f t="shared" si="42"/>
        <v>40</v>
      </c>
      <c r="K43" s="831">
        <f t="shared" si="42"/>
        <v>25</v>
      </c>
      <c r="L43" s="832">
        <f t="shared" si="42"/>
        <v>226</v>
      </c>
      <c r="M43" s="833"/>
      <c r="N43" s="833"/>
      <c r="O43" s="834">
        <f t="shared" ref="O43:V43" si="43">O25+O31+O37</f>
        <v>22</v>
      </c>
      <c r="P43" s="831">
        <f t="shared" si="43"/>
        <v>36</v>
      </c>
      <c r="Q43" s="831">
        <f t="shared" si="43"/>
        <v>41</v>
      </c>
      <c r="R43" s="831">
        <f t="shared" si="43"/>
        <v>52</v>
      </c>
      <c r="S43" s="831">
        <f t="shared" si="43"/>
        <v>40</v>
      </c>
      <c r="T43" s="831">
        <f t="shared" si="43"/>
        <v>26</v>
      </c>
      <c r="U43" s="831">
        <f t="shared" si="43"/>
        <v>20</v>
      </c>
      <c r="V43" s="833">
        <f t="shared" si="43"/>
        <v>237</v>
      </c>
      <c r="W43" s="833"/>
      <c r="X43" s="833"/>
      <c r="Y43" s="831">
        <f t="shared" ref="Y43:AF43" si="44">Y25+Y31+Y37</f>
        <v>28</v>
      </c>
      <c r="Z43" s="831">
        <f t="shared" si="44"/>
        <v>44</v>
      </c>
      <c r="AA43" s="831">
        <f t="shared" si="44"/>
        <v>29</v>
      </c>
      <c r="AB43" s="831">
        <f t="shared" si="44"/>
        <v>29</v>
      </c>
      <c r="AC43" s="831">
        <f t="shared" si="44"/>
        <v>38</v>
      </c>
      <c r="AD43" s="831">
        <f t="shared" si="44"/>
        <v>26</v>
      </c>
      <c r="AE43" s="831">
        <f t="shared" si="44"/>
        <v>27</v>
      </c>
      <c r="AF43" s="833">
        <f t="shared" si="44"/>
        <v>221</v>
      </c>
      <c r="AG43" s="833"/>
      <c r="AH43" s="833"/>
      <c r="AI43" s="831">
        <f t="shared" ref="AI43:AP43" si="45">AI25+AI31+AI37</f>
        <v>33</v>
      </c>
      <c r="AJ43" s="831">
        <f t="shared" si="45"/>
        <v>22</v>
      </c>
      <c r="AK43" s="831">
        <f t="shared" si="45"/>
        <v>35</v>
      </c>
      <c r="AL43" s="831">
        <f t="shared" si="45"/>
        <v>45</v>
      </c>
      <c r="AM43" s="831">
        <f t="shared" si="45"/>
        <v>36</v>
      </c>
      <c r="AN43" s="831">
        <f t="shared" si="45"/>
        <v>19</v>
      </c>
      <c r="AO43" s="831">
        <f t="shared" si="45"/>
        <v>32</v>
      </c>
      <c r="AP43" s="833">
        <f t="shared" si="45"/>
        <v>222</v>
      </c>
      <c r="AQ43" s="833"/>
      <c r="AR43" s="833"/>
      <c r="AS43" s="844"/>
    </row>
    <row r="44" spans="1:45" ht="16.5" customHeight="1">
      <c r="A44" s="845" t="str">
        <f t="shared" si="41"/>
        <v>이마트</v>
      </c>
      <c r="B44" s="865"/>
      <c r="C44" s="841">
        <v>2025005018</v>
      </c>
      <c r="D44" s="823" t="s">
        <v>662</v>
      </c>
      <c r="E44" s="831">
        <f t="shared" ref="E44:L44" si="46">E26+E32+E38</f>
        <v>28</v>
      </c>
      <c r="F44" s="831">
        <f t="shared" si="46"/>
        <v>21</v>
      </c>
      <c r="G44" s="831">
        <f t="shared" si="46"/>
        <v>9</v>
      </c>
      <c r="H44" s="831">
        <f t="shared" si="46"/>
        <v>20</v>
      </c>
      <c r="I44" s="831">
        <f t="shared" si="46"/>
        <v>24</v>
      </c>
      <c r="J44" s="831">
        <f t="shared" si="46"/>
        <v>29</v>
      </c>
      <c r="K44" s="831">
        <f t="shared" si="46"/>
        <v>23</v>
      </c>
      <c r="L44" s="832">
        <f t="shared" si="46"/>
        <v>154</v>
      </c>
      <c r="M44" s="833"/>
      <c r="N44" s="833"/>
      <c r="O44" s="834">
        <f t="shared" ref="O44:V44" si="47">O26+O32+O38</f>
        <v>15</v>
      </c>
      <c r="P44" s="831">
        <f t="shared" si="47"/>
        <v>12</v>
      </c>
      <c r="Q44" s="831">
        <f t="shared" si="47"/>
        <v>23</v>
      </c>
      <c r="R44" s="831">
        <f t="shared" si="47"/>
        <v>28</v>
      </c>
      <c r="S44" s="831">
        <f t="shared" si="47"/>
        <v>32</v>
      </c>
      <c r="T44" s="831">
        <f t="shared" si="47"/>
        <v>23</v>
      </c>
      <c r="U44" s="831">
        <f t="shared" si="47"/>
        <v>18</v>
      </c>
      <c r="V44" s="833">
        <f t="shared" si="47"/>
        <v>151</v>
      </c>
      <c r="W44" s="833"/>
      <c r="X44" s="833"/>
      <c r="Y44" s="831">
        <f t="shared" ref="Y44:AF44" si="48">Y26+Y32+Y38</f>
        <v>21</v>
      </c>
      <c r="Z44" s="831">
        <f t="shared" si="48"/>
        <v>9</v>
      </c>
      <c r="AA44" s="831">
        <f t="shared" si="48"/>
        <v>23</v>
      </c>
      <c r="AB44" s="831">
        <f t="shared" si="48"/>
        <v>24</v>
      </c>
      <c r="AC44" s="831">
        <f t="shared" si="48"/>
        <v>31</v>
      </c>
      <c r="AD44" s="831">
        <f t="shared" si="48"/>
        <v>23</v>
      </c>
      <c r="AE44" s="831">
        <f t="shared" si="48"/>
        <v>30</v>
      </c>
      <c r="AF44" s="833">
        <f t="shared" si="48"/>
        <v>161</v>
      </c>
      <c r="AG44" s="833"/>
      <c r="AH44" s="833"/>
      <c r="AI44" s="831">
        <f t="shared" ref="AI44:AP44" si="49">AI26+AI32+AI38</f>
        <v>24</v>
      </c>
      <c r="AJ44" s="831">
        <f t="shared" si="49"/>
        <v>15</v>
      </c>
      <c r="AK44" s="831">
        <f t="shared" si="49"/>
        <v>15</v>
      </c>
      <c r="AL44" s="831">
        <f t="shared" si="49"/>
        <v>14</v>
      </c>
      <c r="AM44" s="831">
        <f t="shared" si="49"/>
        <v>23</v>
      </c>
      <c r="AN44" s="831">
        <f t="shared" si="49"/>
        <v>15</v>
      </c>
      <c r="AO44" s="831">
        <f t="shared" si="49"/>
        <v>19</v>
      </c>
      <c r="AP44" s="833">
        <f t="shared" si="49"/>
        <v>125</v>
      </c>
      <c r="AQ44" s="833"/>
      <c r="AR44" s="833"/>
      <c r="AS44" s="844"/>
    </row>
    <row r="45" spans="1:45" ht="16.5" customHeight="1">
      <c r="A45" s="845" t="str">
        <f t="shared" si="41"/>
        <v>이마트</v>
      </c>
      <c r="B45" s="865"/>
      <c r="C45" s="841">
        <v>2026004010</v>
      </c>
      <c r="D45" s="823" t="s">
        <v>663</v>
      </c>
      <c r="E45" s="831">
        <f t="shared" ref="E45:L45" si="50">E27+E33+E39</f>
        <v>56</v>
      </c>
      <c r="F45" s="831">
        <f t="shared" si="50"/>
        <v>54</v>
      </c>
      <c r="G45" s="831">
        <f t="shared" si="50"/>
        <v>62</v>
      </c>
      <c r="H45" s="831">
        <f t="shared" si="50"/>
        <v>57</v>
      </c>
      <c r="I45" s="831">
        <f t="shared" si="50"/>
        <v>50</v>
      </c>
      <c r="J45" s="831">
        <f t="shared" si="50"/>
        <v>61</v>
      </c>
      <c r="K45" s="831">
        <f t="shared" si="50"/>
        <v>45</v>
      </c>
      <c r="L45" s="832">
        <f t="shared" si="50"/>
        <v>385</v>
      </c>
      <c r="M45" s="833"/>
      <c r="N45" s="833"/>
      <c r="O45" s="834">
        <f t="shared" ref="O45:V45" si="51">O27+O33+O39</f>
        <v>45</v>
      </c>
      <c r="P45" s="831">
        <f t="shared" si="51"/>
        <v>63</v>
      </c>
      <c r="Q45" s="831">
        <f t="shared" si="51"/>
        <v>46</v>
      </c>
      <c r="R45" s="831">
        <f t="shared" si="51"/>
        <v>54</v>
      </c>
      <c r="S45" s="831">
        <f t="shared" si="51"/>
        <v>41</v>
      </c>
      <c r="T45" s="831">
        <f t="shared" si="51"/>
        <v>34</v>
      </c>
      <c r="U45" s="831">
        <f t="shared" si="51"/>
        <v>53</v>
      </c>
      <c r="V45" s="833">
        <f t="shared" si="51"/>
        <v>336</v>
      </c>
      <c r="W45" s="833"/>
      <c r="X45" s="833"/>
      <c r="Y45" s="831">
        <f t="shared" ref="Y45:AF45" si="52">Y27+Y33+Y39</f>
        <v>65</v>
      </c>
      <c r="Z45" s="831">
        <f t="shared" si="52"/>
        <v>52</v>
      </c>
      <c r="AA45" s="831">
        <f t="shared" si="52"/>
        <v>54</v>
      </c>
      <c r="AB45" s="831">
        <f t="shared" si="52"/>
        <v>52</v>
      </c>
      <c r="AC45" s="831">
        <f t="shared" si="52"/>
        <v>68</v>
      </c>
      <c r="AD45" s="831">
        <f t="shared" si="52"/>
        <v>72</v>
      </c>
      <c r="AE45" s="831">
        <f t="shared" si="52"/>
        <v>65</v>
      </c>
      <c r="AF45" s="833">
        <f t="shared" si="52"/>
        <v>428</v>
      </c>
      <c r="AG45" s="833"/>
      <c r="AH45" s="833"/>
      <c r="AI45" s="831">
        <f t="shared" ref="AI45:AP45" si="53">AI27+AI33+AI39</f>
        <v>61</v>
      </c>
      <c r="AJ45" s="831">
        <f t="shared" si="53"/>
        <v>32</v>
      </c>
      <c r="AK45" s="831">
        <f t="shared" si="53"/>
        <v>45</v>
      </c>
      <c r="AL45" s="831">
        <f t="shared" si="53"/>
        <v>51</v>
      </c>
      <c r="AM45" s="831">
        <f t="shared" si="53"/>
        <v>48</v>
      </c>
      <c r="AN45" s="831">
        <f t="shared" si="53"/>
        <v>29</v>
      </c>
      <c r="AO45" s="831">
        <f t="shared" si="53"/>
        <v>49</v>
      </c>
      <c r="AP45" s="833">
        <f t="shared" si="53"/>
        <v>315</v>
      </c>
      <c r="AQ45" s="833"/>
      <c r="AR45" s="833"/>
      <c r="AS45" s="844"/>
    </row>
    <row r="46" spans="1:45" ht="16.5" customHeight="1">
      <c r="A46" s="845" t="str">
        <f t="shared" si="41"/>
        <v>이마트</v>
      </c>
      <c r="B46" s="865"/>
      <c r="C46" s="841">
        <v>2026002014</v>
      </c>
      <c r="D46" s="823" t="s">
        <v>664</v>
      </c>
      <c r="E46" s="831">
        <f t="shared" ref="E46:L46" si="54">E28+E34+E40</f>
        <v>64</v>
      </c>
      <c r="F46" s="831">
        <f t="shared" si="54"/>
        <v>52</v>
      </c>
      <c r="G46" s="831">
        <f t="shared" si="54"/>
        <v>57</v>
      </c>
      <c r="H46" s="831">
        <f t="shared" si="54"/>
        <v>51</v>
      </c>
      <c r="I46" s="831">
        <f t="shared" si="54"/>
        <v>63</v>
      </c>
      <c r="J46" s="831">
        <f t="shared" si="54"/>
        <v>62</v>
      </c>
      <c r="K46" s="831">
        <f t="shared" si="54"/>
        <v>61</v>
      </c>
      <c r="L46" s="832">
        <f t="shared" si="54"/>
        <v>410</v>
      </c>
      <c r="M46" s="833"/>
      <c r="N46" s="833"/>
      <c r="O46" s="834">
        <f t="shared" ref="O46:V46" si="55">O28+O34+O40</f>
        <v>72</v>
      </c>
      <c r="P46" s="831">
        <f t="shared" si="55"/>
        <v>58</v>
      </c>
      <c r="Q46" s="831">
        <f t="shared" si="55"/>
        <v>50</v>
      </c>
      <c r="R46" s="831">
        <f t="shared" si="55"/>
        <v>47</v>
      </c>
      <c r="S46" s="831">
        <f t="shared" si="55"/>
        <v>52</v>
      </c>
      <c r="T46" s="831">
        <f t="shared" si="55"/>
        <v>39</v>
      </c>
      <c r="U46" s="831">
        <f t="shared" si="55"/>
        <v>80</v>
      </c>
      <c r="V46" s="833">
        <f t="shared" si="55"/>
        <v>398</v>
      </c>
      <c r="W46" s="833"/>
      <c r="X46" s="833"/>
      <c r="Y46" s="831">
        <f t="shared" ref="Y46:AF46" si="56">Y28+Y34+Y40</f>
        <v>55</v>
      </c>
      <c r="Z46" s="831">
        <f t="shared" si="56"/>
        <v>66</v>
      </c>
      <c r="AA46" s="831">
        <f t="shared" si="56"/>
        <v>36</v>
      </c>
      <c r="AB46" s="831">
        <f t="shared" si="56"/>
        <v>48</v>
      </c>
      <c r="AC46" s="831">
        <f t="shared" si="56"/>
        <v>74</v>
      </c>
      <c r="AD46" s="831">
        <f t="shared" si="56"/>
        <v>77</v>
      </c>
      <c r="AE46" s="831">
        <f t="shared" si="56"/>
        <v>67</v>
      </c>
      <c r="AF46" s="833">
        <f t="shared" si="56"/>
        <v>423</v>
      </c>
      <c r="AG46" s="833"/>
      <c r="AH46" s="833"/>
      <c r="AI46" s="831">
        <f t="shared" ref="AI46:AP46" si="57">AI28+AI34+AI40</f>
        <v>59</v>
      </c>
      <c r="AJ46" s="831">
        <f t="shared" si="57"/>
        <v>53</v>
      </c>
      <c r="AK46" s="831">
        <f t="shared" si="57"/>
        <v>77</v>
      </c>
      <c r="AL46" s="831">
        <f t="shared" si="57"/>
        <v>56</v>
      </c>
      <c r="AM46" s="831">
        <f t="shared" si="57"/>
        <v>70</v>
      </c>
      <c r="AN46" s="831">
        <f t="shared" si="57"/>
        <v>34</v>
      </c>
      <c r="AO46" s="831">
        <f t="shared" si="57"/>
        <v>70</v>
      </c>
      <c r="AP46" s="833">
        <f t="shared" si="57"/>
        <v>419</v>
      </c>
      <c r="AQ46" s="833"/>
      <c r="AR46" s="833"/>
      <c r="AS46" s="844"/>
    </row>
    <row r="47" spans="1:45" ht="16.5" customHeight="1">
      <c r="A47" s="846" t="str">
        <f t="shared" si="41"/>
        <v>이마트</v>
      </c>
      <c r="B47" s="1006"/>
      <c r="C47" s="847">
        <v>2026003008</v>
      </c>
      <c r="D47" s="835" t="s">
        <v>665</v>
      </c>
      <c r="E47" s="836">
        <f t="shared" ref="E47:L47" si="58">E29+E35+E41</f>
        <v>43</v>
      </c>
      <c r="F47" s="836">
        <f t="shared" si="58"/>
        <v>40</v>
      </c>
      <c r="G47" s="836">
        <f t="shared" si="58"/>
        <v>28</v>
      </c>
      <c r="H47" s="836">
        <f t="shared" si="58"/>
        <v>33</v>
      </c>
      <c r="I47" s="836">
        <f t="shared" si="58"/>
        <v>34</v>
      </c>
      <c r="J47" s="836">
        <f t="shared" si="58"/>
        <v>30</v>
      </c>
      <c r="K47" s="836">
        <f t="shared" si="58"/>
        <v>34</v>
      </c>
      <c r="L47" s="837">
        <f t="shared" si="58"/>
        <v>242</v>
      </c>
      <c r="M47" s="838"/>
      <c r="N47" s="838"/>
      <c r="O47" s="839">
        <f t="shared" ref="O47:V47" si="59">O29+O35+O41</f>
        <v>24</v>
      </c>
      <c r="P47" s="836">
        <f t="shared" si="59"/>
        <v>25</v>
      </c>
      <c r="Q47" s="836">
        <f t="shared" si="59"/>
        <v>37</v>
      </c>
      <c r="R47" s="836">
        <f t="shared" si="59"/>
        <v>44</v>
      </c>
      <c r="S47" s="836">
        <f t="shared" si="59"/>
        <v>47</v>
      </c>
      <c r="T47" s="836">
        <f t="shared" si="59"/>
        <v>15</v>
      </c>
      <c r="U47" s="836">
        <f t="shared" si="59"/>
        <v>38</v>
      </c>
      <c r="V47" s="838">
        <f t="shared" si="59"/>
        <v>230</v>
      </c>
      <c r="W47" s="838"/>
      <c r="X47" s="838"/>
      <c r="Y47" s="836">
        <f t="shared" ref="Y47:AF47" si="60">Y29+Y35+Y41</f>
        <v>34</v>
      </c>
      <c r="Z47" s="836">
        <f t="shared" si="60"/>
        <v>29</v>
      </c>
      <c r="AA47" s="836">
        <f t="shared" si="60"/>
        <v>33</v>
      </c>
      <c r="AB47" s="836">
        <f t="shared" si="60"/>
        <v>27</v>
      </c>
      <c r="AC47" s="836">
        <f t="shared" si="60"/>
        <v>40</v>
      </c>
      <c r="AD47" s="836">
        <f t="shared" si="60"/>
        <v>39</v>
      </c>
      <c r="AE47" s="836">
        <f t="shared" si="60"/>
        <v>20</v>
      </c>
      <c r="AF47" s="838">
        <f t="shared" si="60"/>
        <v>222</v>
      </c>
      <c r="AG47" s="838"/>
      <c r="AH47" s="838"/>
      <c r="AI47" s="836">
        <f t="shared" ref="AI47:AP47" si="61">AI29+AI35+AI41</f>
        <v>38</v>
      </c>
      <c r="AJ47" s="836">
        <f t="shared" si="61"/>
        <v>25</v>
      </c>
      <c r="AK47" s="836">
        <f t="shared" si="61"/>
        <v>36</v>
      </c>
      <c r="AL47" s="836">
        <f t="shared" si="61"/>
        <v>29</v>
      </c>
      <c r="AM47" s="836">
        <f t="shared" si="61"/>
        <v>47</v>
      </c>
      <c r="AN47" s="836">
        <f t="shared" si="61"/>
        <v>18</v>
      </c>
      <c r="AO47" s="836">
        <f t="shared" si="61"/>
        <v>40</v>
      </c>
      <c r="AP47" s="838">
        <f t="shared" si="61"/>
        <v>233</v>
      </c>
      <c r="AQ47" s="838"/>
      <c r="AR47" s="838"/>
      <c r="AS47" s="844"/>
    </row>
    <row r="48" spans="1:45" ht="16.5" customHeight="1">
      <c r="A48" s="840" t="s">
        <v>74</v>
      </c>
      <c r="B48" s="1007" t="s">
        <v>74</v>
      </c>
      <c r="C48" s="850">
        <v>2025009015</v>
      </c>
      <c r="D48" s="851" t="s">
        <v>660</v>
      </c>
      <c r="E48" s="846">
        <v>6</v>
      </c>
      <c r="F48" s="846">
        <v>4</v>
      </c>
      <c r="G48" s="846">
        <v>1</v>
      </c>
      <c r="H48" s="846">
        <v>9</v>
      </c>
      <c r="I48" s="846">
        <v>6</v>
      </c>
      <c r="J48" s="846">
        <v>3</v>
      </c>
      <c r="K48" s="852">
        <v>4</v>
      </c>
      <c r="L48" s="853">
        <f t="shared" ref="L48:L53" si="62">SUM(E48:K48)</f>
        <v>33</v>
      </c>
      <c r="M48" s="843"/>
      <c r="N48" s="843"/>
      <c r="O48" s="854">
        <v>5</v>
      </c>
      <c r="P48" s="846">
        <v>13</v>
      </c>
      <c r="Q48" s="846">
        <v>4</v>
      </c>
      <c r="R48" s="846">
        <v>6</v>
      </c>
      <c r="S48" s="846">
        <v>11</v>
      </c>
      <c r="T48" s="846">
        <v>3</v>
      </c>
      <c r="U48" s="852">
        <v>4</v>
      </c>
      <c r="V48" s="843">
        <f t="shared" ref="V48:V53" si="63">SUM(O48:U48)</f>
        <v>46</v>
      </c>
      <c r="W48" s="843"/>
      <c r="X48" s="843"/>
      <c r="Y48" s="854">
        <v>12</v>
      </c>
      <c r="Z48" s="846">
        <v>1</v>
      </c>
      <c r="AA48" s="846">
        <v>5</v>
      </c>
      <c r="AB48" s="846">
        <v>7</v>
      </c>
      <c r="AC48" s="846">
        <v>11</v>
      </c>
      <c r="AD48" s="846">
        <v>10</v>
      </c>
      <c r="AE48" s="852">
        <v>2</v>
      </c>
      <c r="AF48" s="843">
        <f t="shared" ref="AF48:AF53" si="64">SUM(Y48:AE48)</f>
        <v>48</v>
      </c>
      <c r="AG48" s="843"/>
      <c r="AH48" s="843"/>
      <c r="AI48" s="854">
        <v>4</v>
      </c>
      <c r="AJ48" s="846">
        <v>3</v>
      </c>
      <c r="AK48" s="846">
        <v>5</v>
      </c>
      <c r="AL48" s="846">
        <v>7</v>
      </c>
      <c r="AM48" s="846">
        <v>14</v>
      </c>
      <c r="AN48" s="846">
        <v>3</v>
      </c>
      <c r="AO48" s="852">
        <v>12</v>
      </c>
      <c r="AP48" s="843">
        <f t="shared" ref="AP48:AP53" si="65">SUM(AI48:AO48)</f>
        <v>48</v>
      </c>
      <c r="AQ48" s="843"/>
      <c r="AR48" s="843"/>
      <c r="AS48" s="844"/>
    </row>
    <row r="49" spans="1:45" ht="16.5" customHeight="1">
      <c r="A49" s="845" t="str">
        <f t="shared" ref="A49:A53" si="66">A48</f>
        <v>롯데마트</v>
      </c>
      <c r="B49" s="865"/>
      <c r="C49" s="841">
        <v>2025007005</v>
      </c>
      <c r="D49" s="823" t="s">
        <v>661</v>
      </c>
      <c r="E49" s="831">
        <v>7</v>
      </c>
      <c r="F49" s="831">
        <v>7</v>
      </c>
      <c r="G49" s="831">
        <v>7</v>
      </c>
      <c r="H49" s="831">
        <v>5</v>
      </c>
      <c r="I49" s="831">
        <v>4</v>
      </c>
      <c r="J49" s="831">
        <v>13</v>
      </c>
      <c r="K49" s="842">
        <v>9</v>
      </c>
      <c r="L49" s="832">
        <f t="shared" si="62"/>
        <v>52</v>
      </c>
      <c r="M49" s="833"/>
      <c r="N49" s="833"/>
      <c r="O49" s="834">
        <v>6</v>
      </c>
      <c r="P49" s="831">
        <v>5</v>
      </c>
      <c r="Q49" s="831">
        <v>11</v>
      </c>
      <c r="R49" s="831">
        <v>4</v>
      </c>
      <c r="S49" s="831">
        <v>5</v>
      </c>
      <c r="T49" s="831">
        <v>2</v>
      </c>
      <c r="U49" s="842">
        <v>8</v>
      </c>
      <c r="V49" s="833">
        <f t="shared" si="63"/>
        <v>41</v>
      </c>
      <c r="W49" s="833"/>
      <c r="X49" s="833"/>
      <c r="Y49" s="834">
        <v>7</v>
      </c>
      <c r="Z49" s="831">
        <v>7</v>
      </c>
      <c r="AA49" s="831">
        <v>8</v>
      </c>
      <c r="AB49" s="831">
        <v>6</v>
      </c>
      <c r="AC49" s="831">
        <v>12</v>
      </c>
      <c r="AD49" s="831">
        <v>5</v>
      </c>
      <c r="AE49" s="842">
        <v>7</v>
      </c>
      <c r="AF49" s="833">
        <f t="shared" si="64"/>
        <v>52</v>
      </c>
      <c r="AG49" s="833"/>
      <c r="AH49" s="833"/>
      <c r="AI49" s="834">
        <v>3</v>
      </c>
      <c r="AJ49" s="831">
        <v>9</v>
      </c>
      <c r="AK49" s="831">
        <v>6</v>
      </c>
      <c r="AL49" s="831">
        <v>4</v>
      </c>
      <c r="AM49" s="831">
        <v>7</v>
      </c>
      <c r="AN49" s="831">
        <v>6</v>
      </c>
      <c r="AO49" s="842">
        <v>14</v>
      </c>
      <c r="AP49" s="833">
        <f t="shared" si="65"/>
        <v>49</v>
      </c>
      <c r="AQ49" s="833"/>
      <c r="AR49" s="833"/>
      <c r="AS49" s="844"/>
    </row>
    <row r="50" spans="1:45" ht="16.5" customHeight="1">
      <c r="A50" s="845" t="str">
        <f t="shared" si="66"/>
        <v>롯데마트</v>
      </c>
      <c r="B50" s="865"/>
      <c r="C50" s="841">
        <v>2025005018</v>
      </c>
      <c r="D50" s="823" t="s">
        <v>662</v>
      </c>
      <c r="E50" s="831">
        <v>5</v>
      </c>
      <c r="F50" s="831">
        <v>6</v>
      </c>
      <c r="G50" s="831">
        <v>11</v>
      </c>
      <c r="H50" s="831">
        <v>6</v>
      </c>
      <c r="I50" s="831">
        <v>6</v>
      </c>
      <c r="J50" s="831">
        <v>9</v>
      </c>
      <c r="K50" s="842">
        <v>9</v>
      </c>
      <c r="L50" s="832">
        <f t="shared" si="62"/>
        <v>52</v>
      </c>
      <c r="M50" s="833"/>
      <c r="N50" s="833"/>
      <c r="O50" s="834">
        <v>3</v>
      </c>
      <c r="P50" s="831">
        <v>4</v>
      </c>
      <c r="Q50" s="831">
        <v>11</v>
      </c>
      <c r="R50" s="831">
        <v>4</v>
      </c>
      <c r="S50" s="831">
        <v>7</v>
      </c>
      <c r="T50" s="831">
        <v>4</v>
      </c>
      <c r="U50" s="842">
        <v>4</v>
      </c>
      <c r="V50" s="833">
        <f t="shared" si="63"/>
        <v>37</v>
      </c>
      <c r="W50" s="833"/>
      <c r="X50" s="833"/>
      <c r="Y50" s="834">
        <v>9</v>
      </c>
      <c r="Z50" s="831">
        <v>7</v>
      </c>
      <c r="AA50" s="831">
        <v>4</v>
      </c>
      <c r="AB50" s="831">
        <v>2</v>
      </c>
      <c r="AC50" s="831">
        <v>16</v>
      </c>
      <c r="AD50" s="831">
        <v>11</v>
      </c>
      <c r="AE50" s="842">
        <v>15</v>
      </c>
      <c r="AF50" s="833">
        <f t="shared" si="64"/>
        <v>64</v>
      </c>
      <c r="AG50" s="833"/>
      <c r="AH50" s="833"/>
      <c r="AI50" s="834">
        <v>7</v>
      </c>
      <c r="AJ50" s="831">
        <v>2</v>
      </c>
      <c r="AK50" s="831">
        <v>10</v>
      </c>
      <c r="AL50" s="831">
        <v>8</v>
      </c>
      <c r="AM50" s="831">
        <v>9</v>
      </c>
      <c r="AN50" s="831">
        <v>1</v>
      </c>
      <c r="AO50" s="842">
        <v>4</v>
      </c>
      <c r="AP50" s="833">
        <f t="shared" si="65"/>
        <v>41</v>
      </c>
      <c r="AQ50" s="833"/>
      <c r="AR50" s="833"/>
      <c r="AS50" s="844"/>
    </row>
    <row r="51" spans="1:45" ht="16.5" customHeight="1">
      <c r="A51" s="845" t="str">
        <f t="shared" si="66"/>
        <v>롯데마트</v>
      </c>
      <c r="B51" s="865"/>
      <c r="C51" s="841">
        <v>2026004010</v>
      </c>
      <c r="D51" s="823" t="s">
        <v>663</v>
      </c>
      <c r="E51" s="831">
        <v>18</v>
      </c>
      <c r="F51" s="831">
        <v>12</v>
      </c>
      <c r="G51" s="831">
        <v>21</v>
      </c>
      <c r="H51" s="831">
        <v>11</v>
      </c>
      <c r="I51" s="831">
        <v>15</v>
      </c>
      <c r="J51" s="831">
        <v>19</v>
      </c>
      <c r="K51" s="842">
        <v>7</v>
      </c>
      <c r="L51" s="832">
        <f t="shared" si="62"/>
        <v>103</v>
      </c>
      <c r="M51" s="833"/>
      <c r="N51" s="833"/>
      <c r="O51" s="834">
        <v>10</v>
      </c>
      <c r="P51" s="831">
        <v>16</v>
      </c>
      <c r="Q51" s="831">
        <v>11</v>
      </c>
      <c r="R51" s="831">
        <v>15</v>
      </c>
      <c r="S51" s="831">
        <v>11</v>
      </c>
      <c r="T51" s="831">
        <v>5</v>
      </c>
      <c r="U51" s="842">
        <v>30</v>
      </c>
      <c r="V51" s="833">
        <f t="shared" si="63"/>
        <v>98</v>
      </c>
      <c r="W51" s="833"/>
      <c r="X51" s="833"/>
      <c r="Y51" s="834">
        <v>15</v>
      </c>
      <c r="Z51" s="831">
        <v>12</v>
      </c>
      <c r="AA51" s="831">
        <v>10</v>
      </c>
      <c r="AB51" s="831">
        <v>10</v>
      </c>
      <c r="AC51" s="831">
        <v>15</v>
      </c>
      <c r="AD51" s="831">
        <v>21</v>
      </c>
      <c r="AE51" s="842">
        <v>9</v>
      </c>
      <c r="AF51" s="833">
        <f t="shared" si="64"/>
        <v>92</v>
      </c>
      <c r="AG51" s="833"/>
      <c r="AH51" s="833"/>
      <c r="AI51" s="834">
        <v>13</v>
      </c>
      <c r="AJ51" s="831">
        <v>6</v>
      </c>
      <c r="AK51" s="831">
        <v>10</v>
      </c>
      <c r="AL51" s="831">
        <v>13</v>
      </c>
      <c r="AM51" s="831">
        <v>12</v>
      </c>
      <c r="AN51" s="831">
        <v>7</v>
      </c>
      <c r="AO51" s="842">
        <v>5</v>
      </c>
      <c r="AP51" s="833">
        <f t="shared" si="65"/>
        <v>66</v>
      </c>
      <c r="AQ51" s="833"/>
      <c r="AR51" s="833"/>
      <c r="AS51" s="844"/>
    </row>
    <row r="52" spans="1:45" ht="16.5" customHeight="1">
      <c r="A52" s="845" t="str">
        <f t="shared" si="66"/>
        <v>롯데마트</v>
      </c>
      <c r="B52" s="865"/>
      <c r="C52" s="841">
        <v>2026002014</v>
      </c>
      <c r="D52" s="823" t="s">
        <v>664</v>
      </c>
      <c r="E52" s="831">
        <v>19</v>
      </c>
      <c r="F52" s="831">
        <v>17</v>
      </c>
      <c r="G52" s="831">
        <v>14</v>
      </c>
      <c r="H52" s="831">
        <v>11</v>
      </c>
      <c r="I52" s="831">
        <v>24</v>
      </c>
      <c r="J52" s="831">
        <v>25</v>
      </c>
      <c r="K52" s="842">
        <v>28</v>
      </c>
      <c r="L52" s="832">
        <f t="shared" si="62"/>
        <v>138</v>
      </c>
      <c r="M52" s="833"/>
      <c r="N52" s="833"/>
      <c r="O52" s="834">
        <v>11</v>
      </c>
      <c r="P52" s="831">
        <v>21</v>
      </c>
      <c r="Q52" s="831">
        <v>20</v>
      </c>
      <c r="R52" s="831">
        <v>23</v>
      </c>
      <c r="S52" s="831">
        <v>24</v>
      </c>
      <c r="T52" s="831">
        <v>10</v>
      </c>
      <c r="U52" s="842">
        <v>9</v>
      </c>
      <c r="V52" s="833">
        <f t="shared" si="63"/>
        <v>118</v>
      </c>
      <c r="W52" s="833"/>
      <c r="X52" s="833"/>
      <c r="Y52" s="834">
        <v>18</v>
      </c>
      <c r="Z52" s="831">
        <v>15</v>
      </c>
      <c r="AA52" s="831">
        <v>19</v>
      </c>
      <c r="AB52" s="831">
        <v>13</v>
      </c>
      <c r="AC52" s="831">
        <v>15</v>
      </c>
      <c r="AD52" s="831">
        <v>15</v>
      </c>
      <c r="AE52" s="842">
        <v>21</v>
      </c>
      <c r="AF52" s="833">
        <f t="shared" si="64"/>
        <v>116</v>
      </c>
      <c r="AG52" s="833"/>
      <c r="AH52" s="833"/>
      <c r="AI52" s="834">
        <v>20</v>
      </c>
      <c r="AJ52" s="831">
        <v>6</v>
      </c>
      <c r="AK52" s="831">
        <v>14</v>
      </c>
      <c r="AL52" s="831">
        <v>19</v>
      </c>
      <c r="AM52" s="831">
        <v>30</v>
      </c>
      <c r="AN52" s="831">
        <v>8</v>
      </c>
      <c r="AO52" s="842">
        <v>19</v>
      </c>
      <c r="AP52" s="833">
        <f t="shared" si="65"/>
        <v>116</v>
      </c>
      <c r="AQ52" s="833"/>
      <c r="AR52" s="833"/>
      <c r="AS52" s="844"/>
    </row>
    <row r="53" spans="1:45" ht="16.5" customHeight="1">
      <c r="A53" s="846" t="str">
        <f t="shared" si="66"/>
        <v>롯데마트</v>
      </c>
      <c r="B53" s="866"/>
      <c r="C53" s="841">
        <v>2026003008</v>
      </c>
      <c r="D53" s="823" t="s">
        <v>665</v>
      </c>
      <c r="E53" s="831">
        <v>10</v>
      </c>
      <c r="F53" s="831">
        <v>19</v>
      </c>
      <c r="G53" s="831">
        <v>8</v>
      </c>
      <c r="H53" s="831">
        <v>11</v>
      </c>
      <c r="I53" s="831">
        <v>8</v>
      </c>
      <c r="J53" s="831">
        <v>11</v>
      </c>
      <c r="K53" s="842">
        <v>13</v>
      </c>
      <c r="L53" s="832">
        <f t="shared" si="62"/>
        <v>80</v>
      </c>
      <c r="M53" s="833"/>
      <c r="N53" s="833"/>
      <c r="O53" s="834">
        <v>4</v>
      </c>
      <c r="P53" s="831">
        <v>5</v>
      </c>
      <c r="Q53" s="831">
        <v>11</v>
      </c>
      <c r="R53" s="831">
        <v>8</v>
      </c>
      <c r="S53" s="831">
        <v>7</v>
      </c>
      <c r="T53" s="831">
        <v>4</v>
      </c>
      <c r="U53" s="842">
        <v>14</v>
      </c>
      <c r="V53" s="833">
        <f t="shared" si="63"/>
        <v>53</v>
      </c>
      <c r="W53" s="833"/>
      <c r="X53" s="833"/>
      <c r="Y53" s="834">
        <v>16</v>
      </c>
      <c r="Z53" s="831">
        <v>8</v>
      </c>
      <c r="AA53" s="831">
        <v>8</v>
      </c>
      <c r="AB53" s="831">
        <v>9</v>
      </c>
      <c r="AC53" s="831">
        <v>12</v>
      </c>
      <c r="AD53" s="831">
        <v>5</v>
      </c>
      <c r="AE53" s="842">
        <v>8</v>
      </c>
      <c r="AF53" s="833">
        <f t="shared" si="64"/>
        <v>66</v>
      </c>
      <c r="AG53" s="833"/>
      <c r="AH53" s="833"/>
      <c r="AI53" s="834">
        <v>6</v>
      </c>
      <c r="AJ53" s="831">
        <v>6</v>
      </c>
      <c r="AK53" s="831">
        <v>8</v>
      </c>
      <c r="AL53" s="831">
        <v>6</v>
      </c>
      <c r="AM53" s="831">
        <v>8</v>
      </c>
      <c r="AN53" s="831">
        <v>4</v>
      </c>
      <c r="AO53" s="842">
        <v>25</v>
      </c>
      <c r="AP53" s="833">
        <f t="shared" si="65"/>
        <v>63</v>
      </c>
      <c r="AQ53" s="833"/>
      <c r="AR53" s="833"/>
      <c r="AS53" s="844"/>
    </row>
    <row r="54" spans="1:45" ht="16.5" customHeight="1">
      <c r="C54" s="855"/>
      <c r="D54" s="856"/>
    </row>
    <row r="55" spans="1:45" ht="16.5" customHeight="1">
      <c r="C55" s="855"/>
      <c r="D55" s="856"/>
    </row>
    <row r="56" spans="1:45" ht="16.5" customHeight="1">
      <c r="B56" s="857" t="s">
        <v>483</v>
      </c>
      <c r="C56" s="844"/>
    </row>
    <row r="57" spans="1:45" ht="16.5" customHeight="1">
      <c r="B57" s="841" t="s">
        <v>73</v>
      </c>
      <c r="C57" s="841">
        <v>160</v>
      </c>
      <c r="D57" s="824">
        <f t="shared" ref="D57:D60" ca="1" si="67">TODAY()+C57</f>
        <v>46440</v>
      </c>
    </row>
    <row r="58" spans="1:45" ht="16.5" customHeight="1">
      <c r="B58" s="841" t="s">
        <v>74</v>
      </c>
      <c r="C58" s="841">
        <v>210</v>
      </c>
      <c r="D58" s="824">
        <f t="shared" ca="1" si="67"/>
        <v>46490</v>
      </c>
    </row>
    <row r="59" spans="1:45" ht="16.5" customHeight="1">
      <c r="B59" s="841" t="s">
        <v>485</v>
      </c>
      <c r="C59" s="841">
        <v>163</v>
      </c>
      <c r="D59" s="824">
        <f t="shared" ca="1" si="67"/>
        <v>46443</v>
      </c>
    </row>
    <row r="60" spans="1:45" ht="16.5" customHeight="1">
      <c r="B60" s="841" t="s">
        <v>486</v>
      </c>
      <c r="C60" s="841">
        <v>170</v>
      </c>
      <c r="D60" s="824">
        <f t="shared" ca="1" si="67"/>
        <v>46450</v>
      </c>
    </row>
    <row r="61" spans="1:45" ht="16.5" customHeight="1"/>
    <row r="62" spans="1:45" ht="16.5" customHeight="1">
      <c r="B62" s="858" t="s">
        <v>675</v>
      </c>
    </row>
    <row r="63" spans="1:45" ht="16.5" customHeight="1">
      <c r="B63" s="1008" t="s">
        <v>73</v>
      </c>
      <c r="C63" s="841">
        <v>2025004021</v>
      </c>
      <c r="D63" s="841" t="s">
        <v>660</v>
      </c>
    </row>
    <row r="64" spans="1:45" ht="16.5" customHeight="1">
      <c r="B64" s="865"/>
      <c r="C64" s="841">
        <v>2025005026</v>
      </c>
      <c r="D64" s="841" t="s">
        <v>661</v>
      </c>
    </row>
    <row r="65" spans="2:4" ht="16.5" customHeight="1">
      <c r="B65" s="866"/>
      <c r="C65" s="841">
        <v>2025005018</v>
      </c>
      <c r="D65" s="841" t="s">
        <v>662</v>
      </c>
    </row>
    <row r="66" spans="2:4" ht="16.5" customHeight="1">
      <c r="B66" s="1008" t="s">
        <v>74</v>
      </c>
      <c r="C66" s="841">
        <v>2025009015</v>
      </c>
      <c r="D66" s="841" t="s">
        <v>660</v>
      </c>
    </row>
    <row r="67" spans="2:4" ht="16.5" customHeight="1">
      <c r="B67" s="865"/>
      <c r="C67" s="841">
        <v>2025007005</v>
      </c>
      <c r="D67" s="841" t="s">
        <v>661</v>
      </c>
    </row>
    <row r="68" spans="2:4" ht="16.5" customHeight="1">
      <c r="B68" s="866"/>
      <c r="C68" s="841">
        <v>2025005018</v>
      </c>
      <c r="D68" s="841" t="s">
        <v>662</v>
      </c>
    </row>
    <row r="69" spans="2:4" ht="16.5" customHeight="1">
      <c r="B69" s="1008" t="s">
        <v>485</v>
      </c>
      <c r="C69" s="841">
        <v>2025009015</v>
      </c>
      <c r="D69" s="841" t="s">
        <v>660</v>
      </c>
    </row>
    <row r="70" spans="2:4" ht="16.5" customHeight="1">
      <c r="B70" s="865"/>
      <c r="C70" s="841">
        <v>2025005026</v>
      </c>
      <c r="D70" s="841" t="s">
        <v>661</v>
      </c>
    </row>
    <row r="71" spans="2:4" ht="16.5" customHeight="1">
      <c r="B71" s="866"/>
      <c r="C71" s="841">
        <v>2025005018</v>
      </c>
      <c r="D71" s="841" t="s">
        <v>662</v>
      </c>
    </row>
    <row r="72" spans="2:4" ht="16.5" customHeight="1">
      <c r="B72" s="1008" t="s">
        <v>486</v>
      </c>
      <c r="C72" s="841">
        <v>2025009015</v>
      </c>
      <c r="D72" s="841" t="s">
        <v>660</v>
      </c>
    </row>
    <row r="73" spans="2:4" ht="16.5" customHeight="1">
      <c r="B73" s="865"/>
      <c r="C73" s="841">
        <v>2025007005</v>
      </c>
      <c r="D73" s="841" t="s">
        <v>661</v>
      </c>
    </row>
    <row r="74" spans="2:4" ht="16.5" customHeight="1">
      <c r="B74" s="866"/>
      <c r="C74" s="841">
        <v>2025007012</v>
      </c>
      <c r="D74" s="841" t="s">
        <v>662</v>
      </c>
    </row>
    <row r="75" spans="2:4" ht="16.5" customHeight="1">
      <c r="C75" s="855"/>
      <c r="D75" s="856"/>
    </row>
    <row r="76" spans="2:4" ht="16.5" customHeight="1">
      <c r="C76" s="855"/>
      <c r="D76" s="856"/>
    </row>
    <row r="77" spans="2:4" ht="16.5" customHeight="1">
      <c r="C77" s="855"/>
      <c r="D77" s="856"/>
    </row>
    <row r="78" spans="2:4" ht="16.5" customHeight="1">
      <c r="C78" s="855"/>
      <c r="D78" s="856"/>
    </row>
    <row r="79" spans="2:4" ht="16.5" customHeight="1">
      <c r="C79" s="855"/>
      <c r="D79" s="856"/>
    </row>
    <row r="80" spans="2:4" ht="16.5" customHeight="1">
      <c r="C80" s="855"/>
      <c r="D80" s="856"/>
    </row>
    <row r="81" spans="3:4" ht="16.5" customHeight="1">
      <c r="C81" s="855"/>
      <c r="D81" s="856"/>
    </row>
    <row r="82" spans="3:4" ht="16.5" customHeight="1">
      <c r="C82" s="855"/>
      <c r="D82" s="856"/>
    </row>
    <row r="83" spans="3:4" ht="16.5" customHeight="1">
      <c r="C83" s="855"/>
      <c r="D83" s="856"/>
    </row>
    <row r="84" spans="3:4" ht="16.5" customHeight="1">
      <c r="C84" s="855"/>
      <c r="D84" s="856"/>
    </row>
    <row r="85" spans="3:4" ht="16.5" customHeight="1">
      <c r="C85" s="855"/>
      <c r="D85" s="856"/>
    </row>
    <row r="86" spans="3:4" ht="16.5" customHeight="1">
      <c r="C86" s="855"/>
      <c r="D86" s="856"/>
    </row>
    <row r="87" spans="3:4" ht="16.5" customHeight="1">
      <c r="C87" s="855"/>
      <c r="D87" s="856"/>
    </row>
    <row r="88" spans="3:4" ht="16.5" customHeight="1">
      <c r="C88" s="855"/>
      <c r="D88" s="856"/>
    </row>
    <row r="89" spans="3:4" ht="16.5" customHeight="1">
      <c r="C89" s="855"/>
      <c r="D89" s="856"/>
    </row>
    <row r="90" spans="3:4" ht="16.5" customHeight="1">
      <c r="C90" s="855"/>
      <c r="D90" s="856"/>
    </row>
    <row r="91" spans="3:4" ht="16.5" customHeight="1">
      <c r="C91" s="855"/>
      <c r="D91" s="856"/>
    </row>
    <row r="92" spans="3:4" ht="16.5" customHeight="1">
      <c r="C92" s="855"/>
      <c r="D92" s="856"/>
    </row>
    <row r="93" spans="3:4" ht="16.5" customHeight="1">
      <c r="C93" s="855"/>
      <c r="D93" s="856"/>
    </row>
    <row r="94" spans="3:4" ht="16.5" customHeight="1">
      <c r="C94" s="855"/>
      <c r="D94" s="856"/>
    </row>
    <row r="95" spans="3:4" ht="16.5" customHeight="1">
      <c r="C95" s="855"/>
      <c r="D95" s="856"/>
    </row>
    <row r="96" spans="3:4" ht="16.5" customHeight="1">
      <c r="C96" s="855"/>
      <c r="D96" s="856"/>
    </row>
    <row r="97" spans="3:4" ht="16.5" customHeight="1">
      <c r="C97" s="855"/>
      <c r="D97" s="856"/>
    </row>
    <row r="98" spans="3:4" ht="16.5" customHeight="1">
      <c r="C98" s="855"/>
      <c r="D98" s="856"/>
    </row>
    <row r="99" spans="3:4" ht="16.5" customHeight="1">
      <c r="C99" s="855"/>
      <c r="D99" s="856"/>
    </row>
    <row r="100" spans="3:4" ht="16.5" customHeight="1">
      <c r="C100" s="855"/>
      <c r="D100" s="856"/>
    </row>
    <row r="101" spans="3:4" ht="16.5" customHeight="1">
      <c r="C101" s="855"/>
      <c r="D101" s="856"/>
    </row>
    <row r="102" spans="3:4" ht="16.5" customHeight="1">
      <c r="C102" s="855"/>
      <c r="D102" s="856"/>
    </row>
    <row r="103" spans="3:4" ht="16.5" customHeight="1">
      <c r="C103" s="855"/>
      <c r="D103" s="856"/>
    </row>
    <row r="104" spans="3:4" ht="16.5" customHeight="1">
      <c r="C104" s="855"/>
      <c r="D104" s="856"/>
    </row>
    <row r="105" spans="3:4" ht="16.5" customHeight="1">
      <c r="C105" s="855"/>
      <c r="D105" s="856"/>
    </row>
    <row r="106" spans="3:4" ht="16.5" customHeight="1">
      <c r="C106" s="855"/>
      <c r="D106" s="856"/>
    </row>
    <row r="107" spans="3:4" ht="16.5" customHeight="1">
      <c r="C107" s="855"/>
      <c r="D107" s="856"/>
    </row>
    <row r="108" spans="3:4" ht="16.5" customHeight="1">
      <c r="C108" s="855"/>
      <c r="D108" s="856"/>
    </row>
    <row r="109" spans="3:4" ht="16.5" customHeight="1">
      <c r="C109" s="855"/>
      <c r="D109" s="856"/>
    </row>
    <row r="110" spans="3:4" ht="16.5" customHeight="1">
      <c r="C110" s="855"/>
      <c r="D110" s="856"/>
    </row>
    <row r="111" spans="3:4" ht="16.5" customHeight="1">
      <c r="C111" s="855"/>
      <c r="D111" s="856"/>
    </row>
    <row r="112" spans="3:4" ht="16.5" customHeight="1">
      <c r="C112" s="855"/>
      <c r="D112" s="856"/>
    </row>
    <row r="113" spans="3:4" ht="16.5" customHeight="1">
      <c r="C113" s="855"/>
      <c r="D113" s="856"/>
    </row>
    <row r="114" spans="3:4" ht="16.5" customHeight="1">
      <c r="C114" s="855"/>
      <c r="D114" s="856"/>
    </row>
    <row r="115" spans="3:4" ht="16.5" customHeight="1">
      <c r="C115" s="855"/>
      <c r="D115" s="856"/>
    </row>
    <row r="116" spans="3:4" ht="16.5" customHeight="1">
      <c r="C116" s="855"/>
      <c r="D116" s="856"/>
    </row>
    <row r="117" spans="3:4" ht="16.5" customHeight="1">
      <c r="C117" s="855"/>
      <c r="D117" s="856"/>
    </row>
    <row r="118" spans="3:4" ht="16.5" customHeight="1">
      <c r="C118" s="855"/>
      <c r="D118" s="856"/>
    </row>
    <row r="119" spans="3:4" ht="16.5" customHeight="1">
      <c r="C119" s="855"/>
      <c r="D119" s="856"/>
    </row>
    <row r="120" spans="3:4" ht="16.5" customHeight="1">
      <c r="C120" s="855"/>
      <c r="D120" s="856"/>
    </row>
    <row r="121" spans="3:4" ht="16.5" customHeight="1">
      <c r="C121" s="855"/>
      <c r="D121" s="856"/>
    </row>
    <row r="122" spans="3:4" ht="16.5" customHeight="1">
      <c r="C122" s="855"/>
      <c r="D122" s="856"/>
    </row>
    <row r="123" spans="3:4" ht="16.5" customHeight="1">
      <c r="C123" s="855"/>
      <c r="D123" s="856"/>
    </row>
    <row r="124" spans="3:4" ht="16.5" customHeight="1">
      <c r="C124" s="855"/>
      <c r="D124" s="856"/>
    </row>
    <row r="125" spans="3:4" ht="16.5" customHeight="1">
      <c r="C125" s="855"/>
      <c r="D125" s="856"/>
    </row>
    <row r="126" spans="3:4" ht="16.5" customHeight="1">
      <c r="C126" s="855"/>
      <c r="D126" s="856"/>
    </row>
    <row r="127" spans="3:4" ht="16.5" customHeight="1">
      <c r="C127" s="855"/>
      <c r="D127" s="856"/>
    </row>
    <row r="128" spans="3:4" ht="16.5" customHeight="1">
      <c r="C128" s="855"/>
      <c r="D128" s="856"/>
    </row>
    <row r="129" spans="3:4" ht="16.5" customHeight="1">
      <c r="C129" s="855"/>
      <c r="D129" s="856"/>
    </row>
    <row r="130" spans="3:4" ht="16.5" customHeight="1">
      <c r="C130" s="855"/>
      <c r="D130" s="856"/>
    </row>
    <row r="131" spans="3:4" ht="16.5" customHeight="1">
      <c r="C131" s="855"/>
      <c r="D131" s="856"/>
    </row>
    <row r="132" spans="3:4" ht="16.5" customHeight="1">
      <c r="C132" s="855"/>
      <c r="D132" s="856"/>
    </row>
    <row r="133" spans="3:4" ht="16.5" customHeight="1">
      <c r="C133" s="855"/>
      <c r="D133" s="856"/>
    </row>
    <row r="134" spans="3:4" ht="16.5" customHeight="1">
      <c r="C134" s="855"/>
      <c r="D134" s="856"/>
    </row>
    <row r="135" spans="3:4" ht="16.5" customHeight="1">
      <c r="C135" s="855"/>
      <c r="D135" s="856"/>
    </row>
    <row r="136" spans="3:4" ht="16.5" customHeight="1">
      <c r="C136" s="855"/>
      <c r="D136" s="856"/>
    </row>
    <row r="137" spans="3:4" ht="16.5" customHeight="1">
      <c r="C137" s="855"/>
      <c r="D137" s="856"/>
    </row>
    <row r="138" spans="3:4" ht="16.5" customHeight="1">
      <c r="C138" s="855"/>
      <c r="D138" s="856"/>
    </row>
    <row r="139" spans="3:4" ht="16.5" customHeight="1">
      <c r="C139" s="855"/>
      <c r="D139" s="856"/>
    </row>
    <row r="140" spans="3:4" ht="16.5" customHeight="1">
      <c r="C140" s="855"/>
      <c r="D140" s="856"/>
    </row>
    <row r="141" spans="3:4" ht="16.5" customHeight="1">
      <c r="C141" s="855"/>
      <c r="D141" s="856"/>
    </row>
    <row r="142" spans="3:4" ht="16.5" customHeight="1">
      <c r="C142" s="855"/>
      <c r="D142" s="856"/>
    </row>
    <row r="143" spans="3:4" ht="16.5" customHeight="1">
      <c r="C143" s="855"/>
      <c r="D143" s="856"/>
    </row>
    <row r="144" spans="3:4" ht="16.5" customHeight="1">
      <c r="C144" s="855"/>
      <c r="D144" s="856"/>
    </row>
    <row r="145" spans="3:4" ht="16.5" customHeight="1">
      <c r="C145" s="855"/>
      <c r="D145" s="856"/>
    </row>
    <row r="146" spans="3:4" ht="16.5" customHeight="1">
      <c r="C146" s="855"/>
      <c r="D146" s="856"/>
    </row>
    <row r="147" spans="3:4" ht="16.5" customHeight="1">
      <c r="C147" s="855"/>
      <c r="D147" s="856"/>
    </row>
    <row r="148" spans="3:4" ht="16.5" customHeight="1">
      <c r="C148" s="855"/>
      <c r="D148" s="856"/>
    </row>
    <row r="149" spans="3:4" ht="16.5" customHeight="1">
      <c r="C149" s="855"/>
      <c r="D149" s="856"/>
    </row>
    <row r="150" spans="3:4" ht="16.5" customHeight="1">
      <c r="C150" s="855"/>
      <c r="D150" s="856"/>
    </row>
    <row r="151" spans="3:4" ht="16.5" customHeight="1">
      <c r="C151" s="855"/>
      <c r="D151" s="856"/>
    </row>
    <row r="152" spans="3:4" ht="16.5" customHeight="1">
      <c r="C152" s="855"/>
      <c r="D152" s="856"/>
    </row>
    <row r="153" spans="3:4" ht="16.5" customHeight="1">
      <c r="C153" s="855"/>
      <c r="D153" s="856"/>
    </row>
    <row r="154" spans="3:4" ht="16.5" customHeight="1">
      <c r="C154" s="855"/>
      <c r="D154" s="856"/>
    </row>
    <row r="155" spans="3:4" ht="16.5" customHeight="1">
      <c r="C155" s="855"/>
      <c r="D155" s="856"/>
    </row>
    <row r="156" spans="3:4" ht="16.5" customHeight="1">
      <c r="C156" s="855"/>
      <c r="D156" s="856"/>
    </row>
    <row r="157" spans="3:4" ht="16.5" customHeight="1">
      <c r="C157" s="855"/>
      <c r="D157" s="856"/>
    </row>
    <row r="158" spans="3:4" ht="16.5" customHeight="1">
      <c r="C158" s="855"/>
      <c r="D158" s="856"/>
    </row>
    <row r="159" spans="3:4" ht="16.5" customHeight="1">
      <c r="C159" s="855"/>
      <c r="D159" s="856"/>
    </row>
    <row r="160" spans="3:4" ht="16.5" customHeight="1">
      <c r="C160" s="855"/>
      <c r="D160" s="856"/>
    </row>
    <row r="161" spans="3:4" ht="16.5" customHeight="1">
      <c r="C161" s="855"/>
      <c r="D161" s="856"/>
    </row>
    <row r="162" spans="3:4" ht="16.5" customHeight="1">
      <c r="C162" s="855"/>
      <c r="D162" s="856"/>
    </row>
    <row r="163" spans="3:4" ht="16.5" customHeight="1">
      <c r="C163" s="855"/>
      <c r="D163" s="856"/>
    </row>
    <row r="164" spans="3:4" ht="16.5" customHeight="1">
      <c r="C164" s="855"/>
      <c r="D164" s="856"/>
    </row>
    <row r="165" spans="3:4" ht="16.5" customHeight="1">
      <c r="C165" s="855"/>
      <c r="D165" s="856"/>
    </row>
    <row r="166" spans="3:4" ht="16.5" customHeight="1">
      <c r="C166" s="855"/>
      <c r="D166" s="856"/>
    </row>
    <row r="167" spans="3:4" ht="16.5" customHeight="1">
      <c r="C167" s="855"/>
      <c r="D167" s="856"/>
    </row>
    <row r="168" spans="3:4" ht="16.5" customHeight="1">
      <c r="C168" s="855"/>
      <c r="D168" s="856"/>
    </row>
    <row r="169" spans="3:4" ht="16.5" customHeight="1">
      <c r="C169" s="855"/>
      <c r="D169" s="856"/>
    </row>
    <row r="170" spans="3:4" ht="16.5" customHeight="1">
      <c r="C170" s="855"/>
      <c r="D170" s="856"/>
    </row>
    <row r="171" spans="3:4" ht="16.5" customHeight="1">
      <c r="C171" s="855"/>
      <c r="D171" s="856"/>
    </row>
    <row r="172" spans="3:4" ht="16.5" customHeight="1">
      <c r="C172" s="855"/>
      <c r="D172" s="856"/>
    </row>
    <row r="173" spans="3:4" ht="16.5" customHeight="1">
      <c r="C173" s="855"/>
      <c r="D173" s="856"/>
    </row>
    <row r="174" spans="3:4" ht="16.5" customHeight="1">
      <c r="C174" s="855"/>
      <c r="D174" s="856"/>
    </row>
    <row r="175" spans="3:4" ht="16.5" customHeight="1">
      <c r="C175" s="855"/>
      <c r="D175" s="856"/>
    </row>
    <row r="176" spans="3:4" ht="16.5" customHeight="1">
      <c r="C176" s="855"/>
      <c r="D176" s="856"/>
    </row>
    <row r="177" spans="3:4" ht="16.5" customHeight="1">
      <c r="C177" s="855"/>
      <c r="D177" s="856"/>
    </row>
    <row r="178" spans="3:4" ht="16.5" customHeight="1">
      <c r="C178" s="855"/>
      <c r="D178" s="856"/>
    </row>
    <row r="179" spans="3:4" ht="16.5" customHeight="1">
      <c r="C179" s="855"/>
      <c r="D179" s="856"/>
    </row>
    <row r="180" spans="3:4" ht="16.5" customHeight="1">
      <c r="C180" s="855"/>
      <c r="D180" s="856"/>
    </row>
    <row r="181" spans="3:4" ht="16.5" customHeight="1">
      <c r="C181" s="855"/>
      <c r="D181" s="856"/>
    </row>
    <row r="182" spans="3:4" ht="16.5" customHeight="1">
      <c r="C182" s="855"/>
      <c r="D182" s="856"/>
    </row>
    <row r="183" spans="3:4" ht="16.5" customHeight="1">
      <c r="C183" s="855"/>
      <c r="D183" s="856"/>
    </row>
    <row r="184" spans="3:4" ht="16.5" customHeight="1">
      <c r="C184" s="855"/>
      <c r="D184" s="856"/>
    </row>
    <row r="185" spans="3:4" ht="16.5" customHeight="1">
      <c r="C185" s="855"/>
      <c r="D185" s="856"/>
    </row>
    <row r="186" spans="3:4" ht="16.5" customHeight="1">
      <c r="C186" s="855"/>
      <c r="D186" s="856"/>
    </row>
    <row r="187" spans="3:4" ht="16.5" customHeight="1">
      <c r="C187" s="855"/>
      <c r="D187" s="856"/>
    </row>
    <row r="188" spans="3:4" ht="16.5" customHeight="1">
      <c r="C188" s="855"/>
      <c r="D188" s="856"/>
    </row>
    <row r="189" spans="3:4" ht="16.5" customHeight="1">
      <c r="C189" s="855"/>
      <c r="D189" s="856"/>
    </row>
    <row r="190" spans="3:4" ht="16.5" customHeight="1">
      <c r="C190" s="855"/>
      <c r="D190" s="856"/>
    </row>
    <row r="191" spans="3:4" ht="16.5" customHeight="1">
      <c r="C191" s="855"/>
      <c r="D191" s="856"/>
    </row>
    <row r="192" spans="3:4" ht="16.5" customHeight="1">
      <c r="C192" s="855"/>
      <c r="D192" s="856"/>
    </row>
    <row r="193" spans="3:4" ht="16.5" customHeight="1">
      <c r="C193" s="855"/>
      <c r="D193" s="856"/>
    </row>
    <row r="194" spans="3:4" ht="16.5" customHeight="1">
      <c r="C194" s="855"/>
      <c r="D194" s="856"/>
    </row>
    <row r="195" spans="3:4" ht="16.5" customHeight="1">
      <c r="C195" s="855"/>
      <c r="D195" s="856"/>
    </row>
    <row r="196" spans="3:4" ht="16.5" customHeight="1">
      <c r="C196" s="855"/>
      <c r="D196" s="856"/>
    </row>
    <row r="197" spans="3:4" ht="16.5" customHeight="1">
      <c r="C197" s="855"/>
      <c r="D197" s="856"/>
    </row>
    <row r="198" spans="3:4" ht="16.5" customHeight="1">
      <c r="C198" s="855"/>
      <c r="D198" s="856"/>
    </row>
    <row r="199" spans="3:4" ht="16.5" customHeight="1">
      <c r="C199" s="855"/>
      <c r="D199" s="856"/>
    </row>
    <row r="200" spans="3:4" ht="16.5" customHeight="1">
      <c r="C200" s="855"/>
      <c r="D200" s="856"/>
    </row>
    <row r="201" spans="3:4" ht="16.5" customHeight="1">
      <c r="C201" s="855"/>
      <c r="D201" s="856"/>
    </row>
    <row r="202" spans="3:4" ht="16.5" customHeight="1">
      <c r="C202" s="855"/>
      <c r="D202" s="856"/>
    </row>
    <row r="203" spans="3:4" ht="16.5" customHeight="1">
      <c r="C203" s="855"/>
      <c r="D203" s="856"/>
    </row>
    <row r="204" spans="3:4" ht="16.5" customHeight="1">
      <c r="C204" s="855"/>
      <c r="D204" s="856"/>
    </row>
    <row r="205" spans="3:4" ht="16.5" customHeight="1">
      <c r="C205" s="855"/>
      <c r="D205" s="856"/>
    </row>
    <row r="206" spans="3:4" ht="16.5" customHeight="1">
      <c r="C206" s="855"/>
      <c r="D206" s="856"/>
    </row>
    <row r="207" spans="3:4" ht="16.5" customHeight="1">
      <c r="C207" s="855"/>
      <c r="D207" s="856"/>
    </row>
    <row r="208" spans="3:4" ht="16.5" customHeight="1">
      <c r="C208" s="855"/>
      <c r="D208" s="856"/>
    </row>
    <row r="209" spans="3:4" ht="16.5" customHeight="1">
      <c r="C209" s="855"/>
      <c r="D209" s="856"/>
    </row>
    <row r="210" spans="3:4" ht="16.5" customHeight="1">
      <c r="C210" s="855"/>
      <c r="D210" s="856"/>
    </row>
    <row r="211" spans="3:4" ht="16.5" customHeight="1">
      <c r="C211" s="855"/>
      <c r="D211" s="856"/>
    </row>
    <row r="212" spans="3:4" ht="16.5" customHeight="1">
      <c r="C212" s="855"/>
      <c r="D212" s="856"/>
    </row>
    <row r="213" spans="3:4" ht="16.5" customHeight="1">
      <c r="C213" s="855"/>
      <c r="D213" s="856"/>
    </row>
    <row r="214" spans="3:4" ht="16.5" customHeight="1">
      <c r="C214" s="855"/>
      <c r="D214" s="856"/>
    </row>
    <row r="215" spans="3:4" ht="16.5" customHeight="1">
      <c r="C215" s="855"/>
      <c r="D215" s="856"/>
    </row>
    <row r="216" spans="3:4" ht="16.5" customHeight="1">
      <c r="C216" s="855"/>
      <c r="D216" s="856"/>
    </row>
    <row r="217" spans="3:4" ht="16.5" customHeight="1">
      <c r="C217" s="855"/>
      <c r="D217" s="856"/>
    </row>
    <row r="218" spans="3:4" ht="16.5" customHeight="1">
      <c r="C218" s="855"/>
      <c r="D218" s="856"/>
    </row>
    <row r="219" spans="3:4" ht="16.5" customHeight="1">
      <c r="C219" s="855"/>
      <c r="D219" s="856"/>
    </row>
    <row r="220" spans="3:4" ht="16.5" customHeight="1">
      <c r="C220" s="855"/>
      <c r="D220" s="856"/>
    </row>
    <row r="221" spans="3:4" ht="16.5" customHeight="1">
      <c r="C221" s="855"/>
      <c r="D221" s="856"/>
    </row>
    <row r="222" spans="3:4" ht="16.5" customHeight="1">
      <c r="C222" s="855"/>
      <c r="D222" s="856"/>
    </row>
    <row r="223" spans="3:4" ht="16.5" customHeight="1">
      <c r="C223" s="855"/>
      <c r="D223" s="856"/>
    </row>
    <row r="224" spans="3:4" ht="16.5" customHeight="1">
      <c r="C224" s="855"/>
      <c r="D224" s="856"/>
    </row>
    <row r="225" spans="3:4" ht="16.5" customHeight="1">
      <c r="C225" s="855"/>
      <c r="D225" s="856"/>
    </row>
    <row r="226" spans="3:4" ht="16.5" customHeight="1">
      <c r="C226" s="855"/>
      <c r="D226" s="856"/>
    </row>
    <row r="227" spans="3:4" ht="16.5" customHeight="1">
      <c r="C227" s="855"/>
      <c r="D227" s="856"/>
    </row>
    <row r="228" spans="3:4" ht="16.5" customHeight="1">
      <c r="C228" s="855"/>
      <c r="D228" s="856"/>
    </row>
    <row r="229" spans="3:4" ht="16.5" customHeight="1">
      <c r="C229" s="855"/>
      <c r="D229" s="856"/>
    </row>
    <row r="230" spans="3:4" ht="16.5" customHeight="1">
      <c r="C230" s="855"/>
      <c r="D230" s="856"/>
    </row>
    <row r="231" spans="3:4" ht="16.5" customHeight="1">
      <c r="C231" s="855"/>
      <c r="D231" s="856"/>
    </row>
    <row r="232" spans="3:4" ht="16.5" customHeight="1">
      <c r="C232" s="855"/>
      <c r="D232" s="856"/>
    </row>
    <row r="233" spans="3:4" ht="16.5" customHeight="1">
      <c r="C233" s="855"/>
      <c r="D233" s="856"/>
    </row>
    <row r="234" spans="3:4" ht="16.5" customHeight="1">
      <c r="C234" s="855"/>
      <c r="D234" s="856"/>
    </row>
    <row r="235" spans="3:4" ht="16.5" customHeight="1">
      <c r="C235" s="855"/>
      <c r="D235" s="856"/>
    </row>
    <row r="236" spans="3:4" ht="16.5" customHeight="1">
      <c r="C236" s="855"/>
      <c r="D236" s="856"/>
    </row>
    <row r="237" spans="3:4" ht="16.5" customHeight="1">
      <c r="C237" s="855"/>
      <c r="D237" s="856"/>
    </row>
    <row r="238" spans="3:4" ht="16.5" customHeight="1">
      <c r="C238" s="855"/>
      <c r="D238" s="856"/>
    </row>
    <row r="239" spans="3:4" ht="16.5" customHeight="1">
      <c r="C239" s="855"/>
      <c r="D239" s="856"/>
    </row>
    <row r="240" spans="3:4" ht="16.5" customHeight="1">
      <c r="C240" s="855"/>
      <c r="D240" s="856"/>
    </row>
    <row r="241" spans="3:4" ht="16.5" customHeight="1">
      <c r="C241" s="855"/>
      <c r="D241" s="856"/>
    </row>
    <row r="242" spans="3:4" ht="16.5" customHeight="1">
      <c r="C242" s="855"/>
      <c r="D242" s="856"/>
    </row>
    <row r="243" spans="3:4" ht="16.5" customHeight="1">
      <c r="C243" s="855"/>
      <c r="D243" s="856"/>
    </row>
    <row r="244" spans="3:4" ht="16.5" customHeight="1">
      <c r="C244" s="855"/>
      <c r="D244" s="856"/>
    </row>
    <row r="245" spans="3:4" ht="16.5" customHeight="1">
      <c r="C245" s="855"/>
      <c r="D245" s="856"/>
    </row>
    <row r="246" spans="3:4" ht="16.5" customHeight="1">
      <c r="C246" s="855"/>
      <c r="D246" s="856"/>
    </row>
    <row r="247" spans="3:4" ht="16.5" customHeight="1">
      <c r="C247" s="855"/>
      <c r="D247" s="856"/>
    </row>
    <row r="248" spans="3:4" ht="16.5" customHeight="1">
      <c r="C248" s="855"/>
      <c r="D248" s="856"/>
    </row>
    <row r="249" spans="3:4" ht="16.5" customHeight="1">
      <c r="C249" s="855"/>
      <c r="D249" s="856"/>
    </row>
    <row r="250" spans="3:4" ht="16.5" customHeight="1">
      <c r="C250" s="855"/>
      <c r="D250" s="856"/>
    </row>
    <row r="251" spans="3:4" ht="16.5" customHeight="1">
      <c r="C251" s="855"/>
      <c r="D251" s="856"/>
    </row>
    <row r="252" spans="3:4" ht="16.5" customHeight="1">
      <c r="C252" s="855"/>
      <c r="D252" s="856"/>
    </row>
    <row r="253" spans="3:4" ht="16.5" customHeight="1">
      <c r="C253" s="855"/>
      <c r="D253" s="856"/>
    </row>
    <row r="254" spans="3:4" ht="16.5" customHeight="1">
      <c r="C254" s="855"/>
      <c r="D254" s="856"/>
    </row>
    <row r="255" spans="3:4" ht="16.5" customHeight="1">
      <c r="C255" s="855"/>
      <c r="D255" s="856"/>
    </row>
    <row r="256" spans="3:4" ht="16.5" customHeight="1">
      <c r="C256" s="855"/>
      <c r="D256" s="856"/>
    </row>
    <row r="257" spans="3:4" ht="16.5" customHeight="1">
      <c r="C257" s="855"/>
      <c r="D257" s="856"/>
    </row>
    <row r="258" spans="3:4" ht="16.5" customHeight="1">
      <c r="C258" s="855"/>
      <c r="D258" s="856"/>
    </row>
    <row r="259" spans="3:4" ht="16.5" customHeight="1">
      <c r="C259" s="855"/>
      <c r="D259" s="856"/>
    </row>
    <row r="260" spans="3:4" ht="16.5" customHeight="1">
      <c r="C260" s="855"/>
      <c r="D260" s="856"/>
    </row>
    <row r="261" spans="3:4" ht="16.5" customHeight="1">
      <c r="C261" s="855"/>
      <c r="D261" s="856"/>
    </row>
    <row r="262" spans="3:4" ht="16.5" customHeight="1">
      <c r="C262" s="855"/>
      <c r="D262" s="856"/>
    </row>
    <row r="263" spans="3:4" ht="16.5" customHeight="1">
      <c r="C263" s="855"/>
      <c r="D263" s="856"/>
    </row>
    <row r="264" spans="3:4" ht="16.5" customHeight="1">
      <c r="C264" s="855"/>
      <c r="D264" s="856"/>
    </row>
    <row r="265" spans="3:4" ht="16.5" customHeight="1">
      <c r="C265" s="855"/>
      <c r="D265" s="856"/>
    </row>
    <row r="266" spans="3:4" ht="16.5" customHeight="1">
      <c r="C266" s="855"/>
      <c r="D266" s="856"/>
    </row>
    <row r="267" spans="3:4" ht="16.5" customHeight="1">
      <c r="C267" s="855"/>
      <c r="D267" s="856"/>
    </row>
    <row r="268" spans="3:4" ht="16.5" customHeight="1">
      <c r="C268" s="855"/>
      <c r="D268" s="856"/>
    </row>
    <row r="269" spans="3:4" ht="16.5" customHeight="1">
      <c r="C269" s="855"/>
      <c r="D269" s="856"/>
    </row>
    <row r="270" spans="3:4" ht="16.5" customHeight="1">
      <c r="C270" s="855"/>
      <c r="D270" s="856"/>
    </row>
    <row r="271" spans="3:4" ht="16.5" customHeight="1">
      <c r="C271" s="855"/>
      <c r="D271" s="856"/>
    </row>
    <row r="272" spans="3:4" ht="16.5" customHeight="1">
      <c r="C272" s="855"/>
      <c r="D272" s="856"/>
    </row>
    <row r="273" spans="3:4" ht="16.5" customHeight="1">
      <c r="C273" s="855"/>
      <c r="D273" s="856"/>
    </row>
    <row r="274" spans="3:4" ht="16.5" customHeight="1">
      <c r="C274" s="855"/>
      <c r="D274" s="856"/>
    </row>
    <row r="275" spans="3:4" ht="16.5" customHeight="1">
      <c r="C275" s="855"/>
      <c r="D275" s="856"/>
    </row>
    <row r="276" spans="3:4" ht="16.5" customHeight="1">
      <c r="C276" s="855"/>
      <c r="D276" s="856"/>
    </row>
    <row r="277" spans="3:4" ht="16.5" customHeight="1">
      <c r="C277" s="855"/>
      <c r="D277" s="856"/>
    </row>
    <row r="278" spans="3:4" ht="16.5" customHeight="1">
      <c r="C278" s="855"/>
      <c r="D278" s="856"/>
    </row>
    <row r="279" spans="3:4" ht="16.5" customHeight="1">
      <c r="C279" s="855"/>
      <c r="D279" s="856"/>
    </row>
    <row r="280" spans="3:4" ht="16.5" customHeight="1">
      <c r="C280" s="855"/>
      <c r="D280" s="856"/>
    </row>
    <row r="281" spans="3:4" ht="16.5" customHeight="1">
      <c r="C281" s="855"/>
      <c r="D281" s="856"/>
    </row>
    <row r="282" spans="3:4" ht="16.5" customHeight="1">
      <c r="C282" s="855"/>
      <c r="D282" s="856"/>
    </row>
    <row r="283" spans="3:4" ht="16.5" customHeight="1">
      <c r="C283" s="855"/>
      <c r="D283" s="856"/>
    </row>
    <row r="284" spans="3:4" ht="16.5" customHeight="1">
      <c r="C284" s="855"/>
      <c r="D284" s="856"/>
    </row>
    <row r="285" spans="3:4" ht="16.5" customHeight="1">
      <c r="C285" s="855"/>
      <c r="D285" s="856"/>
    </row>
    <row r="286" spans="3:4" ht="16.5" customHeight="1">
      <c r="C286" s="855"/>
      <c r="D286" s="856"/>
    </row>
    <row r="287" spans="3:4" ht="16.5" customHeight="1">
      <c r="C287" s="855"/>
      <c r="D287" s="856"/>
    </row>
    <row r="288" spans="3:4" ht="16.5" customHeight="1">
      <c r="C288" s="855"/>
      <c r="D288" s="856"/>
    </row>
    <row r="289" spans="3:4" ht="16.5" customHeight="1">
      <c r="C289" s="855"/>
      <c r="D289" s="856"/>
    </row>
    <row r="290" spans="3:4" ht="16.5" customHeight="1">
      <c r="C290" s="855"/>
      <c r="D290" s="856"/>
    </row>
    <row r="291" spans="3:4" ht="16.5" customHeight="1">
      <c r="C291" s="855"/>
      <c r="D291" s="856"/>
    </row>
    <row r="292" spans="3:4" ht="16.5" customHeight="1">
      <c r="C292" s="855"/>
      <c r="D292" s="856"/>
    </row>
    <row r="293" spans="3:4" ht="16.5" customHeight="1">
      <c r="C293" s="855"/>
      <c r="D293" s="856"/>
    </row>
    <row r="294" spans="3:4" ht="16.5" customHeight="1">
      <c r="C294" s="855"/>
      <c r="D294" s="856"/>
    </row>
    <row r="295" spans="3:4" ht="16.5" customHeight="1">
      <c r="C295" s="855"/>
      <c r="D295" s="856"/>
    </row>
    <row r="296" spans="3:4" ht="16.5" customHeight="1">
      <c r="C296" s="855"/>
      <c r="D296" s="856"/>
    </row>
    <row r="297" spans="3:4" ht="16.5" customHeight="1">
      <c r="C297" s="855"/>
      <c r="D297" s="856"/>
    </row>
    <row r="298" spans="3:4" ht="16.5" customHeight="1">
      <c r="C298" s="855"/>
      <c r="D298" s="856"/>
    </row>
    <row r="299" spans="3:4" ht="16.5" customHeight="1">
      <c r="C299" s="855"/>
      <c r="D299" s="856"/>
    </row>
    <row r="300" spans="3:4" ht="16.5" customHeight="1">
      <c r="C300" s="855"/>
      <c r="D300" s="856"/>
    </row>
    <row r="301" spans="3:4" ht="16.5" customHeight="1">
      <c r="C301" s="855"/>
      <c r="D301" s="856"/>
    </row>
    <row r="302" spans="3:4" ht="16.5" customHeight="1">
      <c r="C302" s="855"/>
      <c r="D302" s="856"/>
    </row>
    <row r="303" spans="3:4" ht="16.5" customHeight="1">
      <c r="C303" s="855"/>
      <c r="D303" s="856"/>
    </row>
    <row r="304" spans="3:4" ht="16.5" customHeight="1">
      <c r="C304" s="855"/>
      <c r="D304" s="856"/>
    </row>
    <row r="305" spans="3:4" ht="16.5" customHeight="1">
      <c r="C305" s="855"/>
      <c r="D305" s="856"/>
    </row>
    <row r="306" spans="3:4" ht="16.5" customHeight="1">
      <c r="C306" s="855"/>
      <c r="D306" s="856"/>
    </row>
    <row r="307" spans="3:4" ht="16.5" customHeight="1">
      <c r="C307" s="855"/>
      <c r="D307" s="856"/>
    </row>
    <row r="308" spans="3:4" ht="16.5" customHeight="1">
      <c r="C308" s="855"/>
      <c r="D308" s="856"/>
    </row>
    <row r="309" spans="3:4" ht="16.5" customHeight="1">
      <c r="C309" s="855"/>
      <c r="D309" s="856"/>
    </row>
    <row r="310" spans="3:4" ht="16.5" customHeight="1">
      <c r="C310" s="855"/>
      <c r="D310" s="856"/>
    </row>
    <row r="311" spans="3:4" ht="16.5" customHeight="1">
      <c r="C311" s="855"/>
      <c r="D311" s="856"/>
    </row>
    <row r="312" spans="3:4" ht="16.5" customHeight="1">
      <c r="C312" s="855"/>
      <c r="D312" s="856"/>
    </row>
    <row r="313" spans="3:4" ht="16.5" customHeight="1">
      <c r="C313" s="855"/>
      <c r="D313" s="856"/>
    </row>
    <row r="314" spans="3:4" ht="16.5" customHeight="1">
      <c r="C314" s="855"/>
      <c r="D314" s="856"/>
    </row>
    <row r="315" spans="3:4" ht="16.5" customHeight="1">
      <c r="C315" s="855"/>
      <c r="D315" s="856"/>
    </row>
    <row r="316" spans="3:4" ht="16.5" customHeight="1">
      <c r="C316" s="855"/>
      <c r="D316" s="856"/>
    </row>
    <row r="317" spans="3:4" ht="16.5" customHeight="1">
      <c r="C317" s="855"/>
      <c r="D317" s="856"/>
    </row>
    <row r="318" spans="3:4" ht="16.5" customHeight="1">
      <c r="C318" s="855"/>
      <c r="D318" s="856"/>
    </row>
    <row r="319" spans="3:4" ht="16.5" customHeight="1">
      <c r="C319" s="855"/>
      <c r="D319" s="856"/>
    </row>
    <row r="320" spans="3:4" ht="16.5" customHeight="1">
      <c r="C320" s="855"/>
      <c r="D320" s="856"/>
    </row>
    <row r="321" spans="3:4" ht="16.5" customHeight="1">
      <c r="C321" s="855"/>
      <c r="D321" s="856"/>
    </row>
    <row r="322" spans="3:4" ht="16.5" customHeight="1">
      <c r="C322" s="855"/>
      <c r="D322" s="856"/>
    </row>
    <row r="323" spans="3:4" ht="16.5" customHeight="1">
      <c r="C323" s="855"/>
      <c r="D323" s="856"/>
    </row>
    <row r="324" spans="3:4" ht="16.5" customHeight="1">
      <c r="C324" s="855"/>
      <c r="D324" s="856"/>
    </row>
    <row r="325" spans="3:4" ht="16.5" customHeight="1">
      <c r="C325" s="855"/>
      <c r="D325" s="856"/>
    </row>
    <row r="326" spans="3:4" ht="16.5" customHeight="1">
      <c r="C326" s="855"/>
      <c r="D326" s="856"/>
    </row>
    <row r="327" spans="3:4" ht="16.5" customHeight="1">
      <c r="C327" s="855"/>
      <c r="D327" s="856"/>
    </row>
    <row r="328" spans="3:4" ht="16.5" customHeight="1">
      <c r="C328" s="855"/>
      <c r="D328" s="856"/>
    </row>
    <row r="329" spans="3:4" ht="16.5" customHeight="1">
      <c r="C329" s="855"/>
      <c r="D329" s="856"/>
    </row>
    <row r="330" spans="3:4" ht="16.5" customHeight="1">
      <c r="C330" s="855"/>
      <c r="D330" s="856"/>
    </row>
    <row r="331" spans="3:4" ht="16.5" customHeight="1">
      <c r="C331" s="855"/>
      <c r="D331" s="856"/>
    </row>
    <row r="332" spans="3:4" ht="16.5" customHeight="1">
      <c r="C332" s="855"/>
      <c r="D332" s="856"/>
    </row>
    <row r="333" spans="3:4" ht="16.5" customHeight="1">
      <c r="C333" s="855"/>
      <c r="D333" s="856"/>
    </row>
    <row r="334" spans="3:4" ht="16.5" customHeight="1">
      <c r="C334" s="855"/>
      <c r="D334" s="856"/>
    </row>
    <row r="335" spans="3:4" ht="16.5" customHeight="1">
      <c r="C335" s="855"/>
      <c r="D335" s="856"/>
    </row>
    <row r="336" spans="3:4" ht="16.5" customHeight="1">
      <c r="C336" s="855"/>
      <c r="D336" s="856"/>
    </row>
    <row r="337" spans="3:4" ht="16.5" customHeight="1">
      <c r="C337" s="855"/>
      <c r="D337" s="856"/>
    </row>
    <row r="338" spans="3:4" ht="16.5" customHeight="1">
      <c r="C338" s="855"/>
      <c r="D338" s="856"/>
    </row>
    <row r="339" spans="3:4" ht="16.5" customHeight="1">
      <c r="C339" s="855"/>
      <c r="D339" s="856"/>
    </row>
    <row r="340" spans="3:4" ht="16.5" customHeight="1">
      <c r="C340" s="855"/>
      <c r="D340" s="856"/>
    </row>
    <row r="341" spans="3:4" ht="16.5" customHeight="1">
      <c r="C341" s="855"/>
      <c r="D341" s="856"/>
    </row>
    <row r="342" spans="3:4" ht="16.5" customHeight="1">
      <c r="C342" s="855"/>
      <c r="D342" s="856"/>
    </row>
    <row r="343" spans="3:4" ht="16.5" customHeight="1">
      <c r="C343" s="855"/>
      <c r="D343" s="856"/>
    </row>
    <row r="344" spans="3:4" ht="16.5" customHeight="1">
      <c r="C344" s="855"/>
      <c r="D344" s="856"/>
    </row>
    <row r="345" spans="3:4" ht="16.5" customHeight="1">
      <c r="C345" s="855"/>
      <c r="D345" s="856"/>
    </row>
    <row r="346" spans="3:4" ht="16.5" customHeight="1">
      <c r="C346" s="855"/>
      <c r="D346" s="856"/>
    </row>
    <row r="347" spans="3:4" ht="16.5" customHeight="1">
      <c r="C347" s="855"/>
      <c r="D347" s="856"/>
    </row>
    <row r="348" spans="3:4" ht="16.5" customHeight="1">
      <c r="C348" s="855"/>
      <c r="D348" s="856"/>
    </row>
    <row r="349" spans="3:4" ht="16.5" customHeight="1">
      <c r="C349" s="855"/>
      <c r="D349" s="856"/>
    </row>
    <row r="350" spans="3:4" ht="16.5" customHeight="1">
      <c r="C350" s="855"/>
      <c r="D350" s="856"/>
    </row>
    <row r="351" spans="3:4" ht="16.5" customHeight="1">
      <c r="C351" s="855"/>
      <c r="D351" s="856"/>
    </row>
    <row r="352" spans="3:4" ht="16.5" customHeight="1">
      <c r="C352" s="855"/>
      <c r="D352" s="856"/>
    </row>
    <row r="353" spans="3:4" ht="16.5" customHeight="1">
      <c r="C353" s="855"/>
      <c r="D353" s="856"/>
    </row>
    <row r="354" spans="3:4" ht="16.5" customHeight="1">
      <c r="C354" s="855"/>
      <c r="D354" s="856"/>
    </row>
    <row r="355" spans="3:4" ht="16.5" customHeight="1">
      <c r="C355" s="855"/>
      <c r="D355" s="856"/>
    </row>
    <row r="356" spans="3:4" ht="16.5" customHeight="1">
      <c r="C356" s="855"/>
      <c r="D356" s="856"/>
    </row>
    <row r="357" spans="3:4" ht="16.5" customHeight="1">
      <c r="C357" s="855"/>
      <c r="D357" s="856"/>
    </row>
    <row r="358" spans="3:4" ht="16.5" customHeight="1">
      <c r="C358" s="855"/>
      <c r="D358" s="856"/>
    </row>
    <row r="359" spans="3:4" ht="16.5" customHeight="1">
      <c r="C359" s="855"/>
      <c r="D359" s="856"/>
    </row>
    <row r="360" spans="3:4" ht="16.5" customHeight="1">
      <c r="C360" s="855"/>
      <c r="D360" s="856"/>
    </row>
    <row r="361" spans="3:4" ht="16.5" customHeight="1">
      <c r="C361" s="855"/>
      <c r="D361" s="856"/>
    </row>
    <row r="362" spans="3:4" ht="16.5" customHeight="1">
      <c r="C362" s="855"/>
      <c r="D362" s="856"/>
    </row>
    <row r="363" spans="3:4" ht="16.5" customHeight="1">
      <c r="C363" s="855"/>
      <c r="D363" s="856"/>
    </row>
    <row r="364" spans="3:4" ht="16.5" customHeight="1">
      <c r="C364" s="855"/>
      <c r="D364" s="856"/>
    </row>
    <row r="365" spans="3:4" ht="16.5" customHeight="1">
      <c r="C365" s="855"/>
      <c r="D365" s="856"/>
    </row>
    <row r="366" spans="3:4" ht="16.5" customHeight="1">
      <c r="C366" s="855"/>
      <c r="D366" s="856"/>
    </row>
    <row r="367" spans="3:4" ht="16.5" customHeight="1">
      <c r="C367" s="855"/>
      <c r="D367" s="856"/>
    </row>
    <row r="368" spans="3:4" ht="16.5" customHeight="1">
      <c r="C368" s="855"/>
      <c r="D368" s="856"/>
    </row>
    <row r="369" spans="3:4" ht="16.5" customHeight="1">
      <c r="C369" s="855"/>
      <c r="D369" s="856"/>
    </row>
    <row r="370" spans="3:4" ht="16.5" customHeight="1">
      <c r="C370" s="855"/>
      <c r="D370" s="856"/>
    </row>
    <row r="371" spans="3:4" ht="16.5" customHeight="1">
      <c r="C371" s="855"/>
      <c r="D371" s="856"/>
    </row>
    <row r="372" spans="3:4" ht="16.5" customHeight="1">
      <c r="C372" s="855"/>
      <c r="D372" s="856"/>
    </row>
    <row r="373" spans="3:4" ht="16.5" customHeight="1">
      <c r="C373" s="855"/>
      <c r="D373" s="856"/>
    </row>
    <row r="374" spans="3:4" ht="16.5" customHeight="1">
      <c r="C374" s="855"/>
      <c r="D374" s="856"/>
    </row>
    <row r="375" spans="3:4" ht="16.5" customHeight="1">
      <c r="C375" s="855"/>
      <c r="D375" s="856"/>
    </row>
    <row r="376" spans="3:4" ht="16.5" customHeight="1">
      <c r="C376" s="855"/>
      <c r="D376" s="856"/>
    </row>
    <row r="377" spans="3:4" ht="16.5" customHeight="1">
      <c r="C377" s="855"/>
      <c r="D377" s="856"/>
    </row>
    <row r="378" spans="3:4" ht="16.5" customHeight="1">
      <c r="C378" s="855"/>
      <c r="D378" s="856"/>
    </row>
    <row r="379" spans="3:4" ht="16.5" customHeight="1">
      <c r="C379" s="855"/>
      <c r="D379" s="856"/>
    </row>
    <row r="380" spans="3:4" ht="16.5" customHeight="1">
      <c r="C380" s="855"/>
      <c r="D380" s="856"/>
    </row>
    <row r="381" spans="3:4" ht="16.5" customHeight="1">
      <c r="C381" s="855"/>
      <c r="D381" s="856"/>
    </row>
    <row r="382" spans="3:4" ht="16.5" customHeight="1">
      <c r="C382" s="855"/>
      <c r="D382" s="856"/>
    </row>
    <row r="383" spans="3:4" ht="16.5" customHeight="1">
      <c r="C383" s="855"/>
      <c r="D383" s="856"/>
    </row>
    <row r="384" spans="3:4" ht="16.5" customHeight="1">
      <c r="C384" s="855"/>
      <c r="D384" s="856"/>
    </row>
    <row r="385" spans="3:4" ht="16.5" customHeight="1">
      <c r="C385" s="855"/>
      <c r="D385" s="856"/>
    </row>
    <row r="386" spans="3:4" ht="16.5" customHeight="1">
      <c r="C386" s="855"/>
      <c r="D386" s="856"/>
    </row>
    <row r="387" spans="3:4" ht="16.5" customHeight="1">
      <c r="C387" s="855"/>
      <c r="D387" s="856"/>
    </row>
    <row r="388" spans="3:4" ht="16.5" customHeight="1">
      <c r="C388" s="855"/>
      <c r="D388" s="856"/>
    </row>
    <row r="389" spans="3:4" ht="16.5" customHeight="1">
      <c r="C389" s="855"/>
      <c r="D389" s="856"/>
    </row>
    <row r="390" spans="3:4" ht="16.5" customHeight="1">
      <c r="C390" s="855"/>
      <c r="D390" s="856"/>
    </row>
    <row r="391" spans="3:4" ht="16.5" customHeight="1">
      <c r="C391" s="855"/>
      <c r="D391" s="856"/>
    </row>
    <row r="392" spans="3:4" ht="16.5" customHeight="1">
      <c r="C392" s="855"/>
      <c r="D392" s="856"/>
    </row>
    <row r="393" spans="3:4" ht="16.5" customHeight="1">
      <c r="C393" s="855"/>
      <c r="D393" s="856"/>
    </row>
    <row r="394" spans="3:4" ht="16.5" customHeight="1">
      <c r="C394" s="855"/>
      <c r="D394" s="856"/>
    </row>
    <row r="395" spans="3:4" ht="16.5" customHeight="1">
      <c r="C395" s="855"/>
      <c r="D395" s="856"/>
    </row>
    <row r="396" spans="3:4" ht="16.5" customHeight="1">
      <c r="C396" s="855"/>
      <c r="D396" s="856"/>
    </row>
    <row r="397" spans="3:4" ht="16.5" customHeight="1">
      <c r="C397" s="855"/>
      <c r="D397" s="856"/>
    </row>
    <row r="398" spans="3:4" ht="16.5" customHeight="1">
      <c r="C398" s="855"/>
      <c r="D398" s="856"/>
    </row>
    <row r="399" spans="3:4" ht="16.5" customHeight="1">
      <c r="C399" s="855"/>
      <c r="D399" s="856"/>
    </row>
    <row r="400" spans="3:4" ht="16.5" customHeight="1">
      <c r="C400" s="855"/>
      <c r="D400" s="856"/>
    </row>
    <row r="401" spans="3:4" ht="16.5" customHeight="1">
      <c r="C401" s="855"/>
      <c r="D401" s="856"/>
    </row>
    <row r="402" spans="3:4" ht="16.5" customHeight="1">
      <c r="C402" s="855"/>
      <c r="D402" s="856"/>
    </row>
    <row r="403" spans="3:4" ht="16.5" customHeight="1">
      <c r="C403" s="855"/>
      <c r="D403" s="856"/>
    </row>
    <row r="404" spans="3:4" ht="16.5" customHeight="1">
      <c r="C404" s="855"/>
      <c r="D404" s="856"/>
    </row>
    <row r="405" spans="3:4" ht="16.5" customHeight="1">
      <c r="C405" s="855"/>
      <c r="D405" s="856"/>
    </row>
    <row r="406" spans="3:4" ht="16.5" customHeight="1">
      <c r="C406" s="855"/>
      <c r="D406" s="856"/>
    </row>
    <row r="407" spans="3:4" ht="16.5" customHeight="1">
      <c r="C407" s="855"/>
      <c r="D407" s="856"/>
    </row>
    <row r="408" spans="3:4" ht="16.5" customHeight="1">
      <c r="C408" s="855"/>
      <c r="D408" s="856"/>
    </row>
    <row r="409" spans="3:4" ht="16.5" customHeight="1">
      <c r="C409" s="855"/>
      <c r="D409" s="856"/>
    </row>
    <row r="410" spans="3:4" ht="16.5" customHeight="1">
      <c r="C410" s="855"/>
      <c r="D410" s="856"/>
    </row>
    <row r="411" spans="3:4" ht="16.5" customHeight="1">
      <c r="C411" s="855"/>
      <c r="D411" s="856"/>
    </row>
    <row r="412" spans="3:4" ht="16.5" customHeight="1">
      <c r="C412" s="855"/>
      <c r="D412" s="856"/>
    </row>
    <row r="413" spans="3:4" ht="16.5" customHeight="1">
      <c r="C413" s="855"/>
      <c r="D413" s="856"/>
    </row>
    <row r="414" spans="3:4" ht="16.5" customHeight="1">
      <c r="C414" s="855"/>
      <c r="D414" s="856"/>
    </row>
    <row r="415" spans="3:4" ht="16.5" customHeight="1">
      <c r="C415" s="855"/>
      <c r="D415" s="856"/>
    </row>
    <row r="416" spans="3:4" ht="16.5" customHeight="1">
      <c r="C416" s="855"/>
      <c r="D416" s="856"/>
    </row>
    <row r="417" spans="3:4" ht="16.5" customHeight="1">
      <c r="C417" s="855"/>
      <c r="D417" s="856"/>
    </row>
    <row r="418" spans="3:4" ht="16.5" customHeight="1">
      <c r="C418" s="855"/>
      <c r="D418" s="856"/>
    </row>
    <row r="419" spans="3:4" ht="16.5" customHeight="1">
      <c r="C419" s="855"/>
      <c r="D419" s="856"/>
    </row>
    <row r="420" spans="3:4" ht="16.5" customHeight="1">
      <c r="C420" s="855"/>
      <c r="D420" s="856"/>
    </row>
    <row r="421" spans="3:4" ht="16.5" customHeight="1">
      <c r="C421" s="855"/>
      <c r="D421" s="856"/>
    </row>
    <row r="422" spans="3:4" ht="16.5" customHeight="1">
      <c r="C422" s="855"/>
      <c r="D422" s="856"/>
    </row>
    <row r="423" spans="3:4" ht="16.5" customHeight="1">
      <c r="C423" s="855"/>
      <c r="D423" s="856"/>
    </row>
    <row r="424" spans="3:4" ht="16.5" customHeight="1">
      <c r="C424" s="855"/>
      <c r="D424" s="856"/>
    </row>
    <row r="425" spans="3:4" ht="16.5" customHeight="1">
      <c r="C425" s="855"/>
      <c r="D425" s="856"/>
    </row>
    <row r="426" spans="3:4" ht="16.5" customHeight="1">
      <c r="C426" s="855"/>
      <c r="D426" s="856"/>
    </row>
    <row r="427" spans="3:4" ht="16.5" customHeight="1">
      <c r="C427" s="855"/>
      <c r="D427" s="856"/>
    </row>
    <row r="428" spans="3:4" ht="16.5" customHeight="1">
      <c r="C428" s="855"/>
      <c r="D428" s="856"/>
    </row>
    <row r="429" spans="3:4" ht="16.5" customHeight="1">
      <c r="C429" s="855"/>
      <c r="D429" s="856"/>
    </row>
    <row r="430" spans="3:4" ht="16.5" customHeight="1">
      <c r="C430" s="855"/>
      <c r="D430" s="856"/>
    </row>
    <row r="431" spans="3:4" ht="16.5" customHeight="1">
      <c r="C431" s="855"/>
      <c r="D431" s="856"/>
    </row>
    <row r="432" spans="3:4" ht="16.5" customHeight="1">
      <c r="C432" s="855"/>
      <c r="D432" s="856"/>
    </row>
    <row r="433" spans="3:4" ht="16.5" customHeight="1">
      <c r="C433" s="855"/>
      <c r="D433" s="856"/>
    </row>
    <row r="434" spans="3:4" ht="16.5" customHeight="1">
      <c r="C434" s="855"/>
      <c r="D434" s="856"/>
    </row>
    <row r="435" spans="3:4" ht="16.5" customHeight="1">
      <c r="C435" s="855"/>
      <c r="D435" s="856"/>
    </row>
    <row r="436" spans="3:4" ht="16.5" customHeight="1">
      <c r="C436" s="855"/>
      <c r="D436" s="856"/>
    </row>
    <row r="437" spans="3:4" ht="16.5" customHeight="1">
      <c r="C437" s="855"/>
      <c r="D437" s="856"/>
    </row>
    <row r="438" spans="3:4" ht="16.5" customHeight="1">
      <c r="C438" s="855"/>
      <c r="D438" s="856"/>
    </row>
    <row r="439" spans="3:4" ht="16.5" customHeight="1">
      <c r="C439" s="855"/>
      <c r="D439" s="856"/>
    </row>
    <row r="440" spans="3:4" ht="16.5" customHeight="1">
      <c r="C440" s="855"/>
      <c r="D440" s="856"/>
    </row>
    <row r="441" spans="3:4" ht="16.5" customHeight="1">
      <c r="C441" s="855"/>
      <c r="D441" s="856"/>
    </row>
    <row r="442" spans="3:4" ht="16.5" customHeight="1">
      <c r="C442" s="855"/>
      <c r="D442" s="856"/>
    </row>
    <row r="443" spans="3:4" ht="16.5" customHeight="1">
      <c r="C443" s="855"/>
      <c r="D443" s="856"/>
    </row>
    <row r="444" spans="3:4" ht="16.5" customHeight="1">
      <c r="C444" s="855"/>
      <c r="D444" s="856"/>
    </row>
    <row r="445" spans="3:4" ht="16.5" customHeight="1">
      <c r="C445" s="855"/>
      <c r="D445" s="856"/>
    </row>
    <row r="446" spans="3:4" ht="16.5" customHeight="1">
      <c r="C446" s="855"/>
      <c r="D446" s="856"/>
    </row>
    <row r="447" spans="3:4" ht="16.5" customHeight="1">
      <c r="C447" s="855"/>
      <c r="D447" s="856"/>
    </row>
    <row r="448" spans="3:4" ht="16.5" customHeight="1">
      <c r="C448" s="855"/>
      <c r="D448" s="856"/>
    </row>
    <row r="449" spans="3:4" ht="16.5" customHeight="1">
      <c r="C449" s="855"/>
      <c r="D449" s="856"/>
    </row>
    <row r="450" spans="3:4" ht="16.5" customHeight="1">
      <c r="C450" s="855"/>
      <c r="D450" s="856"/>
    </row>
    <row r="451" spans="3:4" ht="16.5" customHeight="1">
      <c r="C451" s="855"/>
      <c r="D451" s="856"/>
    </row>
    <row r="452" spans="3:4" ht="16.5" customHeight="1">
      <c r="C452" s="855"/>
      <c r="D452" s="856"/>
    </row>
    <row r="453" spans="3:4" ht="16.5" customHeight="1">
      <c r="C453" s="855"/>
      <c r="D453" s="856"/>
    </row>
    <row r="454" spans="3:4" ht="16.5" customHeight="1">
      <c r="C454" s="855"/>
      <c r="D454" s="856"/>
    </row>
    <row r="455" spans="3:4" ht="16.5" customHeight="1">
      <c r="C455" s="855"/>
      <c r="D455" s="856"/>
    </row>
    <row r="456" spans="3:4" ht="16.5" customHeight="1">
      <c r="C456" s="855"/>
      <c r="D456" s="856"/>
    </row>
    <row r="457" spans="3:4" ht="16.5" customHeight="1">
      <c r="C457" s="855"/>
      <c r="D457" s="856"/>
    </row>
    <row r="458" spans="3:4" ht="16.5" customHeight="1">
      <c r="C458" s="855"/>
      <c r="D458" s="856"/>
    </row>
    <row r="459" spans="3:4" ht="16.5" customHeight="1">
      <c r="C459" s="855"/>
      <c r="D459" s="856"/>
    </row>
    <row r="460" spans="3:4" ht="16.5" customHeight="1">
      <c r="C460" s="855"/>
      <c r="D460" s="856"/>
    </row>
    <row r="461" spans="3:4" ht="16.5" customHeight="1">
      <c r="C461" s="855"/>
      <c r="D461" s="856"/>
    </row>
    <row r="462" spans="3:4" ht="16.5" customHeight="1">
      <c r="C462" s="855"/>
      <c r="D462" s="856"/>
    </row>
    <row r="463" spans="3:4" ht="16.5" customHeight="1">
      <c r="C463" s="855"/>
      <c r="D463" s="856"/>
    </row>
    <row r="464" spans="3:4" ht="16.5" customHeight="1">
      <c r="C464" s="855"/>
      <c r="D464" s="856"/>
    </row>
    <row r="465" spans="3:4" ht="16.5" customHeight="1">
      <c r="C465" s="855"/>
      <c r="D465" s="856"/>
    </row>
    <row r="466" spans="3:4" ht="16.5" customHeight="1">
      <c r="C466" s="855"/>
      <c r="D466" s="856"/>
    </row>
    <row r="467" spans="3:4" ht="16.5" customHeight="1">
      <c r="C467" s="855"/>
      <c r="D467" s="856"/>
    </row>
    <row r="468" spans="3:4" ht="16.5" customHeight="1">
      <c r="C468" s="855"/>
      <c r="D468" s="856"/>
    </row>
    <row r="469" spans="3:4" ht="16.5" customHeight="1">
      <c r="C469" s="855"/>
      <c r="D469" s="856"/>
    </row>
    <row r="470" spans="3:4" ht="16.5" customHeight="1">
      <c r="C470" s="855"/>
      <c r="D470" s="856"/>
    </row>
    <row r="471" spans="3:4" ht="16.5" customHeight="1">
      <c r="C471" s="855"/>
      <c r="D471" s="856"/>
    </row>
    <row r="472" spans="3:4" ht="16.5" customHeight="1">
      <c r="C472" s="855"/>
      <c r="D472" s="856"/>
    </row>
    <row r="473" spans="3:4" ht="16.5" customHeight="1">
      <c r="C473" s="855"/>
      <c r="D473" s="856"/>
    </row>
    <row r="474" spans="3:4" ht="16.5" customHeight="1">
      <c r="C474" s="855"/>
      <c r="D474" s="856"/>
    </row>
    <row r="475" spans="3:4" ht="16.5" customHeight="1">
      <c r="C475" s="855"/>
      <c r="D475" s="856"/>
    </row>
    <row r="476" spans="3:4" ht="16.5" customHeight="1">
      <c r="C476" s="855"/>
      <c r="D476" s="856"/>
    </row>
    <row r="477" spans="3:4" ht="16.5" customHeight="1">
      <c r="C477" s="855"/>
      <c r="D477" s="856"/>
    </row>
    <row r="478" spans="3:4" ht="16.5" customHeight="1">
      <c r="C478" s="855"/>
      <c r="D478" s="856"/>
    </row>
    <row r="479" spans="3:4" ht="16.5" customHeight="1">
      <c r="C479" s="855"/>
      <c r="D479" s="856"/>
    </row>
    <row r="480" spans="3:4" ht="16.5" customHeight="1">
      <c r="C480" s="855"/>
      <c r="D480" s="856"/>
    </row>
    <row r="481" spans="3:4" ht="16.5" customHeight="1">
      <c r="C481" s="855"/>
      <c r="D481" s="856"/>
    </row>
    <row r="482" spans="3:4" ht="16.5" customHeight="1">
      <c r="C482" s="855"/>
      <c r="D482" s="856"/>
    </row>
    <row r="483" spans="3:4" ht="16.5" customHeight="1">
      <c r="C483" s="855"/>
      <c r="D483" s="856"/>
    </row>
    <row r="484" spans="3:4" ht="16.5" customHeight="1">
      <c r="C484" s="855"/>
      <c r="D484" s="856"/>
    </row>
    <row r="485" spans="3:4" ht="16.5" customHeight="1">
      <c r="C485" s="855"/>
      <c r="D485" s="856"/>
    </row>
    <row r="486" spans="3:4" ht="16.5" customHeight="1">
      <c r="C486" s="855"/>
      <c r="D486" s="856"/>
    </row>
    <row r="487" spans="3:4" ht="16.5" customHeight="1">
      <c r="C487" s="855"/>
      <c r="D487" s="856"/>
    </row>
    <row r="488" spans="3:4" ht="16.5" customHeight="1">
      <c r="C488" s="855"/>
      <c r="D488" s="856"/>
    </row>
    <row r="489" spans="3:4" ht="16.5" customHeight="1">
      <c r="C489" s="855"/>
      <c r="D489" s="856"/>
    </row>
    <row r="490" spans="3:4" ht="16.5" customHeight="1">
      <c r="C490" s="855"/>
      <c r="D490" s="856"/>
    </row>
    <row r="491" spans="3:4" ht="16.5" customHeight="1">
      <c r="C491" s="855"/>
      <c r="D491" s="856"/>
    </row>
    <row r="492" spans="3:4" ht="16.5" customHeight="1">
      <c r="C492" s="855"/>
      <c r="D492" s="856"/>
    </row>
    <row r="493" spans="3:4" ht="16.5" customHeight="1">
      <c r="C493" s="855"/>
      <c r="D493" s="856"/>
    </row>
    <row r="494" spans="3:4" ht="16.5" customHeight="1">
      <c r="C494" s="855"/>
      <c r="D494" s="856"/>
    </row>
    <row r="495" spans="3:4" ht="16.5" customHeight="1">
      <c r="C495" s="855"/>
      <c r="D495" s="856"/>
    </row>
    <row r="496" spans="3:4" ht="16.5" customHeight="1">
      <c r="C496" s="855"/>
      <c r="D496" s="856"/>
    </row>
    <row r="497" spans="3:4" ht="16.5" customHeight="1">
      <c r="C497" s="855"/>
      <c r="D497" s="856"/>
    </row>
    <row r="498" spans="3:4" ht="16.5" customHeight="1">
      <c r="C498" s="855"/>
      <c r="D498" s="856"/>
    </row>
    <row r="499" spans="3:4" ht="16.5" customHeight="1">
      <c r="C499" s="855"/>
      <c r="D499" s="856"/>
    </row>
    <row r="500" spans="3:4" ht="16.5" customHeight="1">
      <c r="C500" s="855"/>
      <c r="D500" s="856"/>
    </row>
    <row r="501" spans="3:4" ht="16.5" customHeight="1">
      <c r="C501" s="855"/>
      <c r="D501" s="856"/>
    </row>
    <row r="502" spans="3:4" ht="16.5" customHeight="1">
      <c r="C502" s="855"/>
      <c r="D502" s="856"/>
    </row>
    <row r="503" spans="3:4" ht="16.5" customHeight="1">
      <c r="C503" s="855"/>
      <c r="D503" s="856"/>
    </row>
    <row r="504" spans="3:4" ht="16.5" customHeight="1">
      <c r="C504" s="855"/>
      <c r="D504" s="856"/>
    </row>
    <row r="505" spans="3:4" ht="16.5" customHeight="1">
      <c r="C505" s="855"/>
      <c r="D505" s="856"/>
    </row>
    <row r="506" spans="3:4" ht="16.5" customHeight="1">
      <c r="C506" s="855"/>
      <c r="D506" s="856"/>
    </row>
    <row r="507" spans="3:4" ht="16.5" customHeight="1">
      <c r="C507" s="855"/>
      <c r="D507" s="856"/>
    </row>
    <row r="508" spans="3:4" ht="16.5" customHeight="1">
      <c r="C508" s="855"/>
      <c r="D508" s="856"/>
    </row>
    <row r="509" spans="3:4" ht="16.5" customHeight="1">
      <c r="C509" s="855"/>
      <c r="D509" s="856"/>
    </row>
    <row r="510" spans="3:4" ht="16.5" customHeight="1">
      <c r="C510" s="855"/>
      <c r="D510" s="856"/>
    </row>
    <row r="511" spans="3:4" ht="16.5" customHeight="1">
      <c r="C511" s="855"/>
      <c r="D511" s="856"/>
    </row>
    <row r="512" spans="3:4" ht="16.5" customHeight="1">
      <c r="C512" s="855"/>
      <c r="D512" s="856"/>
    </row>
    <row r="513" spans="3:4" ht="16.5" customHeight="1">
      <c r="C513" s="855"/>
      <c r="D513" s="856"/>
    </row>
    <row r="514" spans="3:4" ht="16.5" customHeight="1">
      <c r="C514" s="855"/>
      <c r="D514" s="856"/>
    </row>
    <row r="515" spans="3:4" ht="16.5" customHeight="1">
      <c r="C515" s="855"/>
      <c r="D515" s="856"/>
    </row>
    <row r="516" spans="3:4" ht="16.5" customHeight="1">
      <c r="C516" s="855"/>
      <c r="D516" s="856"/>
    </row>
    <row r="517" spans="3:4" ht="16.5" customHeight="1">
      <c r="C517" s="855"/>
      <c r="D517" s="856"/>
    </row>
    <row r="518" spans="3:4" ht="16.5" customHeight="1">
      <c r="C518" s="855"/>
      <c r="D518" s="856"/>
    </row>
    <row r="519" spans="3:4" ht="16.5" customHeight="1">
      <c r="C519" s="855"/>
      <c r="D519" s="856"/>
    </row>
    <row r="520" spans="3:4" ht="16.5" customHeight="1">
      <c r="C520" s="855"/>
      <c r="D520" s="856"/>
    </row>
    <row r="521" spans="3:4" ht="16.5" customHeight="1">
      <c r="C521" s="855"/>
      <c r="D521" s="856"/>
    </row>
    <row r="522" spans="3:4" ht="16.5" customHeight="1">
      <c r="C522" s="855"/>
      <c r="D522" s="856"/>
    </row>
    <row r="523" spans="3:4" ht="16.5" customHeight="1">
      <c r="C523" s="855"/>
      <c r="D523" s="856"/>
    </row>
    <row r="524" spans="3:4" ht="16.5" customHeight="1">
      <c r="C524" s="855"/>
      <c r="D524" s="856"/>
    </row>
    <row r="525" spans="3:4" ht="16.5" customHeight="1">
      <c r="C525" s="855"/>
      <c r="D525" s="856"/>
    </row>
    <row r="526" spans="3:4" ht="16.5" customHeight="1">
      <c r="C526" s="855"/>
      <c r="D526" s="856"/>
    </row>
    <row r="527" spans="3:4" ht="16.5" customHeight="1">
      <c r="C527" s="855"/>
      <c r="D527" s="856"/>
    </row>
    <row r="528" spans="3:4" ht="16.5" customHeight="1">
      <c r="C528" s="855"/>
      <c r="D528" s="856"/>
    </row>
    <row r="529" spans="3:4" ht="16.5" customHeight="1">
      <c r="C529" s="855"/>
      <c r="D529" s="856"/>
    </row>
    <row r="530" spans="3:4" ht="16.5" customHeight="1">
      <c r="C530" s="855"/>
      <c r="D530" s="856"/>
    </row>
    <row r="531" spans="3:4" ht="16.5" customHeight="1">
      <c r="C531" s="855"/>
      <c r="D531" s="856"/>
    </row>
    <row r="532" spans="3:4" ht="16.5" customHeight="1">
      <c r="C532" s="855"/>
      <c r="D532" s="856"/>
    </row>
    <row r="533" spans="3:4" ht="16.5" customHeight="1">
      <c r="C533" s="855"/>
      <c r="D533" s="856"/>
    </row>
    <row r="534" spans="3:4" ht="16.5" customHeight="1">
      <c r="C534" s="855"/>
      <c r="D534" s="856"/>
    </row>
    <row r="535" spans="3:4" ht="16.5" customHeight="1">
      <c r="C535" s="855"/>
      <c r="D535" s="856"/>
    </row>
    <row r="536" spans="3:4" ht="16.5" customHeight="1">
      <c r="C536" s="855"/>
      <c r="D536" s="856"/>
    </row>
    <row r="537" spans="3:4" ht="16.5" customHeight="1">
      <c r="C537" s="855"/>
      <c r="D537" s="856"/>
    </row>
    <row r="538" spans="3:4" ht="16.5" customHeight="1">
      <c r="C538" s="855"/>
      <c r="D538" s="856"/>
    </row>
    <row r="539" spans="3:4" ht="16.5" customHeight="1">
      <c r="C539" s="855"/>
      <c r="D539" s="856"/>
    </row>
    <row r="540" spans="3:4" ht="16.5" customHeight="1">
      <c r="C540" s="855"/>
      <c r="D540" s="856"/>
    </row>
    <row r="541" spans="3:4" ht="16.5" customHeight="1">
      <c r="C541" s="855"/>
      <c r="D541" s="856"/>
    </row>
    <row r="542" spans="3:4" ht="16.5" customHeight="1">
      <c r="C542" s="855"/>
      <c r="D542" s="856"/>
    </row>
    <row r="543" spans="3:4" ht="16.5" customHeight="1">
      <c r="C543" s="855"/>
      <c r="D543" s="856"/>
    </row>
    <row r="544" spans="3:4" ht="16.5" customHeight="1">
      <c r="C544" s="855"/>
      <c r="D544" s="856"/>
    </row>
    <row r="545" spans="3:4" ht="16.5" customHeight="1">
      <c r="C545" s="855"/>
      <c r="D545" s="856"/>
    </row>
    <row r="546" spans="3:4" ht="16.5" customHeight="1">
      <c r="C546" s="855"/>
      <c r="D546" s="856"/>
    </row>
    <row r="547" spans="3:4" ht="16.5" customHeight="1">
      <c r="C547" s="855"/>
      <c r="D547" s="856"/>
    </row>
    <row r="548" spans="3:4" ht="16.5" customHeight="1">
      <c r="C548" s="855"/>
      <c r="D548" s="856"/>
    </row>
    <row r="549" spans="3:4" ht="16.5" customHeight="1">
      <c r="C549" s="855"/>
      <c r="D549" s="856"/>
    </row>
    <row r="550" spans="3:4" ht="16.5" customHeight="1">
      <c r="C550" s="855"/>
      <c r="D550" s="856"/>
    </row>
    <row r="551" spans="3:4" ht="16.5" customHeight="1">
      <c r="C551" s="855"/>
      <c r="D551" s="856"/>
    </row>
    <row r="552" spans="3:4" ht="16.5" customHeight="1">
      <c r="C552" s="855"/>
      <c r="D552" s="856"/>
    </row>
    <row r="553" spans="3:4" ht="16.5" customHeight="1">
      <c r="C553" s="855"/>
      <c r="D553" s="856"/>
    </row>
    <row r="554" spans="3:4" ht="16.5" customHeight="1">
      <c r="C554" s="855"/>
      <c r="D554" s="856"/>
    </row>
    <row r="555" spans="3:4" ht="16.5" customHeight="1">
      <c r="C555" s="855"/>
      <c r="D555" s="856"/>
    </row>
    <row r="556" spans="3:4" ht="16.5" customHeight="1">
      <c r="C556" s="855"/>
      <c r="D556" s="856"/>
    </row>
    <row r="557" spans="3:4" ht="16.5" customHeight="1">
      <c r="C557" s="855"/>
      <c r="D557" s="856"/>
    </row>
    <row r="558" spans="3:4" ht="16.5" customHeight="1">
      <c r="C558" s="855"/>
      <c r="D558" s="856"/>
    </row>
    <row r="559" spans="3:4" ht="16.5" customHeight="1">
      <c r="C559" s="855"/>
      <c r="D559" s="856"/>
    </row>
    <row r="560" spans="3:4" ht="16.5" customHeight="1">
      <c r="C560" s="855"/>
      <c r="D560" s="856"/>
    </row>
    <row r="561" spans="3:4" ht="16.5" customHeight="1">
      <c r="C561" s="855"/>
      <c r="D561" s="856"/>
    </row>
    <row r="562" spans="3:4" ht="16.5" customHeight="1">
      <c r="C562" s="855"/>
      <c r="D562" s="856"/>
    </row>
    <row r="563" spans="3:4" ht="16.5" customHeight="1">
      <c r="C563" s="855"/>
      <c r="D563" s="856"/>
    </row>
    <row r="564" spans="3:4" ht="16.5" customHeight="1">
      <c r="C564" s="855"/>
      <c r="D564" s="856"/>
    </row>
    <row r="565" spans="3:4" ht="16.5" customHeight="1">
      <c r="C565" s="855"/>
      <c r="D565" s="856"/>
    </row>
    <row r="566" spans="3:4" ht="16.5" customHeight="1">
      <c r="C566" s="855"/>
      <c r="D566" s="856"/>
    </row>
    <row r="567" spans="3:4" ht="16.5" customHeight="1">
      <c r="C567" s="855"/>
      <c r="D567" s="856"/>
    </row>
    <row r="568" spans="3:4" ht="16.5" customHeight="1">
      <c r="C568" s="855"/>
      <c r="D568" s="856"/>
    </row>
    <row r="569" spans="3:4" ht="16.5" customHeight="1">
      <c r="C569" s="855"/>
      <c r="D569" s="856"/>
    </row>
    <row r="570" spans="3:4" ht="16.5" customHeight="1">
      <c r="C570" s="855"/>
      <c r="D570" s="856"/>
    </row>
    <row r="571" spans="3:4" ht="16.5" customHeight="1">
      <c r="C571" s="855"/>
      <c r="D571" s="856"/>
    </row>
    <row r="572" spans="3:4" ht="16.5" customHeight="1">
      <c r="C572" s="855"/>
      <c r="D572" s="856"/>
    </row>
    <row r="573" spans="3:4" ht="16.5" customHeight="1">
      <c r="C573" s="855"/>
      <c r="D573" s="856"/>
    </row>
    <row r="574" spans="3:4" ht="16.5" customHeight="1">
      <c r="C574" s="855"/>
      <c r="D574" s="856"/>
    </row>
    <row r="575" spans="3:4" ht="16.5" customHeight="1">
      <c r="C575" s="855"/>
      <c r="D575" s="856"/>
    </row>
    <row r="576" spans="3:4" ht="16.5" customHeight="1">
      <c r="C576" s="855"/>
      <c r="D576" s="856"/>
    </row>
    <row r="577" spans="3:4" ht="16.5" customHeight="1">
      <c r="C577" s="855"/>
      <c r="D577" s="856"/>
    </row>
    <row r="578" spans="3:4" ht="16.5" customHeight="1">
      <c r="C578" s="855"/>
      <c r="D578" s="856"/>
    </row>
    <row r="579" spans="3:4" ht="16.5" customHeight="1">
      <c r="C579" s="855"/>
      <c r="D579" s="856"/>
    </row>
    <row r="580" spans="3:4" ht="16.5" customHeight="1">
      <c r="C580" s="855"/>
      <c r="D580" s="856"/>
    </row>
    <row r="581" spans="3:4" ht="16.5" customHeight="1">
      <c r="C581" s="855"/>
      <c r="D581" s="856"/>
    </row>
    <row r="582" spans="3:4" ht="16.5" customHeight="1">
      <c r="C582" s="855"/>
      <c r="D582" s="856"/>
    </row>
    <row r="583" spans="3:4" ht="16.5" customHeight="1">
      <c r="C583" s="855"/>
      <c r="D583" s="856"/>
    </row>
    <row r="584" spans="3:4" ht="16.5" customHeight="1">
      <c r="C584" s="855"/>
      <c r="D584" s="856"/>
    </row>
    <row r="585" spans="3:4" ht="16.5" customHeight="1">
      <c r="C585" s="855"/>
      <c r="D585" s="856"/>
    </row>
    <row r="586" spans="3:4" ht="16.5" customHeight="1">
      <c r="C586" s="855"/>
      <c r="D586" s="856"/>
    </row>
    <row r="587" spans="3:4" ht="16.5" customHeight="1">
      <c r="C587" s="855"/>
      <c r="D587" s="856"/>
    </row>
    <row r="588" spans="3:4" ht="16.5" customHeight="1">
      <c r="C588" s="855"/>
      <c r="D588" s="856"/>
    </row>
    <row r="589" spans="3:4" ht="16.5" customHeight="1">
      <c r="C589" s="855"/>
      <c r="D589" s="856"/>
    </row>
    <row r="590" spans="3:4" ht="16.5" customHeight="1">
      <c r="C590" s="855"/>
      <c r="D590" s="856"/>
    </row>
    <row r="591" spans="3:4" ht="16.5" customHeight="1">
      <c r="C591" s="855"/>
      <c r="D591" s="856"/>
    </row>
    <row r="592" spans="3:4" ht="16.5" customHeight="1">
      <c r="C592" s="855"/>
      <c r="D592" s="856"/>
    </row>
    <row r="593" spans="3:4" ht="16.5" customHeight="1">
      <c r="C593" s="855"/>
      <c r="D593" s="856"/>
    </row>
    <row r="594" spans="3:4" ht="16.5" customHeight="1">
      <c r="C594" s="855"/>
      <c r="D594" s="856"/>
    </row>
    <row r="595" spans="3:4" ht="16.5" customHeight="1">
      <c r="C595" s="855"/>
      <c r="D595" s="856"/>
    </row>
    <row r="596" spans="3:4" ht="16.5" customHeight="1">
      <c r="C596" s="855"/>
      <c r="D596" s="856"/>
    </row>
    <row r="597" spans="3:4" ht="16.5" customHeight="1">
      <c r="C597" s="855"/>
      <c r="D597" s="856"/>
    </row>
    <row r="598" spans="3:4" ht="16.5" customHeight="1">
      <c r="C598" s="855"/>
      <c r="D598" s="856"/>
    </row>
    <row r="599" spans="3:4" ht="16.5" customHeight="1">
      <c r="C599" s="855"/>
      <c r="D599" s="856"/>
    </row>
    <row r="600" spans="3:4" ht="16.5" customHeight="1">
      <c r="C600" s="855"/>
      <c r="D600" s="856"/>
    </row>
    <row r="601" spans="3:4" ht="16.5" customHeight="1">
      <c r="C601" s="855"/>
      <c r="D601" s="856"/>
    </row>
    <row r="602" spans="3:4" ht="16.5" customHeight="1">
      <c r="C602" s="855"/>
      <c r="D602" s="856"/>
    </row>
    <row r="603" spans="3:4" ht="16.5" customHeight="1">
      <c r="C603" s="855"/>
      <c r="D603" s="856"/>
    </row>
    <row r="604" spans="3:4" ht="16.5" customHeight="1">
      <c r="C604" s="855"/>
      <c r="D604" s="856"/>
    </row>
    <row r="605" spans="3:4" ht="16.5" customHeight="1">
      <c r="C605" s="855"/>
      <c r="D605" s="856"/>
    </row>
    <row r="606" spans="3:4" ht="16.5" customHeight="1">
      <c r="C606" s="855"/>
      <c r="D606" s="856"/>
    </row>
    <row r="607" spans="3:4" ht="16.5" customHeight="1">
      <c r="C607" s="855"/>
      <c r="D607" s="856"/>
    </row>
    <row r="608" spans="3:4" ht="16.5" customHeight="1">
      <c r="C608" s="855"/>
      <c r="D608" s="856"/>
    </row>
    <row r="609" spans="3:4" ht="16.5" customHeight="1">
      <c r="C609" s="855"/>
      <c r="D609" s="856"/>
    </row>
    <row r="610" spans="3:4" ht="16.5" customHeight="1">
      <c r="C610" s="855"/>
      <c r="D610" s="856"/>
    </row>
    <row r="611" spans="3:4" ht="16.5" customHeight="1">
      <c r="C611" s="855"/>
      <c r="D611" s="856"/>
    </row>
    <row r="612" spans="3:4" ht="16.5" customHeight="1">
      <c r="C612" s="855"/>
      <c r="D612" s="856"/>
    </row>
    <row r="613" spans="3:4" ht="16.5" customHeight="1">
      <c r="C613" s="855"/>
      <c r="D613" s="856"/>
    </row>
    <row r="614" spans="3:4" ht="16.5" customHeight="1">
      <c r="C614" s="855"/>
      <c r="D614" s="856"/>
    </row>
    <row r="615" spans="3:4" ht="16.5" customHeight="1">
      <c r="C615" s="855"/>
      <c r="D615" s="856"/>
    </row>
    <row r="616" spans="3:4" ht="16.5" customHeight="1">
      <c r="C616" s="855"/>
      <c r="D616" s="856"/>
    </row>
    <row r="617" spans="3:4" ht="16.5" customHeight="1">
      <c r="C617" s="855"/>
      <c r="D617" s="856"/>
    </row>
    <row r="618" spans="3:4" ht="16.5" customHeight="1">
      <c r="C618" s="855"/>
      <c r="D618" s="856"/>
    </row>
    <row r="619" spans="3:4" ht="16.5" customHeight="1">
      <c r="C619" s="855"/>
      <c r="D619" s="856"/>
    </row>
    <row r="620" spans="3:4" ht="16.5" customHeight="1">
      <c r="C620" s="855"/>
      <c r="D620" s="856"/>
    </row>
    <row r="621" spans="3:4" ht="16.5" customHeight="1">
      <c r="C621" s="855"/>
      <c r="D621" s="856"/>
    </row>
    <row r="622" spans="3:4" ht="16.5" customHeight="1">
      <c r="C622" s="855"/>
      <c r="D622" s="856"/>
    </row>
    <row r="623" spans="3:4" ht="16.5" customHeight="1">
      <c r="C623" s="855"/>
      <c r="D623" s="856"/>
    </row>
    <row r="624" spans="3:4" ht="16.5" customHeight="1">
      <c r="C624" s="855"/>
      <c r="D624" s="856"/>
    </row>
    <row r="625" spans="3:4" ht="16.5" customHeight="1">
      <c r="C625" s="855"/>
      <c r="D625" s="856"/>
    </row>
    <row r="626" spans="3:4" ht="16.5" customHeight="1">
      <c r="C626" s="855"/>
      <c r="D626" s="856"/>
    </row>
    <row r="627" spans="3:4" ht="16.5" customHeight="1">
      <c r="C627" s="855"/>
      <c r="D627" s="856"/>
    </row>
    <row r="628" spans="3:4" ht="16.5" customHeight="1">
      <c r="C628" s="855"/>
      <c r="D628" s="856"/>
    </row>
    <row r="629" spans="3:4" ht="16.5" customHeight="1">
      <c r="C629" s="855"/>
      <c r="D629" s="856"/>
    </row>
    <row r="630" spans="3:4" ht="16.5" customHeight="1">
      <c r="C630" s="855"/>
      <c r="D630" s="856"/>
    </row>
    <row r="631" spans="3:4" ht="16.5" customHeight="1">
      <c r="C631" s="855"/>
      <c r="D631" s="856"/>
    </row>
    <row r="632" spans="3:4" ht="16.5" customHeight="1">
      <c r="C632" s="855"/>
      <c r="D632" s="856"/>
    </row>
    <row r="633" spans="3:4" ht="16.5" customHeight="1">
      <c r="C633" s="855"/>
      <c r="D633" s="856"/>
    </row>
    <row r="634" spans="3:4" ht="16.5" customHeight="1">
      <c r="C634" s="855"/>
      <c r="D634" s="856"/>
    </row>
    <row r="635" spans="3:4" ht="16.5" customHeight="1">
      <c r="C635" s="855"/>
      <c r="D635" s="856"/>
    </row>
    <row r="636" spans="3:4" ht="16.5" customHeight="1">
      <c r="C636" s="855"/>
      <c r="D636" s="856"/>
    </row>
    <row r="637" spans="3:4" ht="16.5" customHeight="1">
      <c r="C637" s="855"/>
      <c r="D637" s="856"/>
    </row>
    <row r="638" spans="3:4" ht="16.5" customHeight="1">
      <c r="C638" s="855"/>
      <c r="D638" s="856"/>
    </row>
    <row r="639" spans="3:4" ht="16.5" customHeight="1">
      <c r="C639" s="855"/>
      <c r="D639" s="856"/>
    </row>
    <row r="640" spans="3:4" ht="16.5" customHeight="1">
      <c r="C640" s="855"/>
      <c r="D640" s="856"/>
    </row>
    <row r="641" spans="3:4" ht="16.5" customHeight="1">
      <c r="C641" s="855"/>
      <c r="D641" s="856"/>
    </row>
    <row r="642" spans="3:4" ht="16.5" customHeight="1">
      <c r="C642" s="855"/>
      <c r="D642" s="856"/>
    </row>
    <row r="643" spans="3:4" ht="16.5" customHeight="1">
      <c r="C643" s="855"/>
      <c r="D643" s="856"/>
    </row>
    <row r="644" spans="3:4" ht="16.5" customHeight="1">
      <c r="C644" s="855"/>
      <c r="D644" s="856"/>
    </row>
    <row r="645" spans="3:4" ht="16.5" customHeight="1">
      <c r="C645" s="855"/>
      <c r="D645" s="856"/>
    </row>
    <row r="646" spans="3:4" ht="16.5" customHeight="1">
      <c r="C646" s="855"/>
      <c r="D646" s="856"/>
    </row>
    <row r="647" spans="3:4" ht="16.5" customHeight="1">
      <c r="C647" s="855"/>
      <c r="D647" s="856"/>
    </row>
    <row r="648" spans="3:4" ht="16.5" customHeight="1">
      <c r="C648" s="855"/>
      <c r="D648" s="856"/>
    </row>
    <row r="649" spans="3:4" ht="16.5" customHeight="1">
      <c r="C649" s="855"/>
      <c r="D649" s="856"/>
    </row>
    <row r="650" spans="3:4" ht="16.5" customHeight="1">
      <c r="C650" s="855"/>
      <c r="D650" s="856"/>
    </row>
    <row r="651" spans="3:4" ht="16.5" customHeight="1">
      <c r="C651" s="855"/>
      <c r="D651" s="856"/>
    </row>
    <row r="652" spans="3:4" ht="16.5" customHeight="1">
      <c r="C652" s="855"/>
      <c r="D652" s="856"/>
    </row>
    <row r="653" spans="3:4" ht="16.5" customHeight="1">
      <c r="C653" s="855"/>
      <c r="D653" s="856"/>
    </row>
    <row r="654" spans="3:4" ht="16.5" customHeight="1">
      <c r="C654" s="855"/>
      <c r="D654" s="856"/>
    </row>
    <row r="655" spans="3:4" ht="16.5" customHeight="1">
      <c r="C655" s="855"/>
      <c r="D655" s="856"/>
    </row>
    <row r="656" spans="3:4" ht="16.5" customHeight="1">
      <c r="C656" s="855"/>
      <c r="D656" s="856"/>
    </row>
    <row r="657" spans="3:4" ht="16.5" customHeight="1">
      <c r="C657" s="855"/>
      <c r="D657" s="856"/>
    </row>
    <row r="658" spans="3:4" ht="16.5" customHeight="1">
      <c r="C658" s="855"/>
      <c r="D658" s="856"/>
    </row>
    <row r="659" spans="3:4" ht="16.5" customHeight="1">
      <c r="C659" s="855"/>
      <c r="D659" s="856"/>
    </row>
    <row r="660" spans="3:4" ht="16.5" customHeight="1">
      <c r="C660" s="855"/>
      <c r="D660" s="856"/>
    </row>
    <row r="661" spans="3:4" ht="16.5" customHeight="1">
      <c r="C661" s="855"/>
      <c r="D661" s="856"/>
    </row>
    <row r="662" spans="3:4" ht="16.5" customHeight="1">
      <c r="C662" s="855"/>
      <c r="D662" s="856"/>
    </row>
    <row r="663" spans="3:4" ht="16.5" customHeight="1">
      <c r="C663" s="855"/>
      <c r="D663" s="856"/>
    </row>
    <row r="664" spans="3:4" ht="16.5" customHeight="1">
      <c r="C664" s="855"/>
      <c r="D664" s="856"/>
    </row>
    <row r="665" spans="3:4" ht="16.5" customHeight="1">
      <c r="C665" s="855"/>
      <c r="D665" s="856"/>
    </row>
    <row r="666" spans="3:4" ht="16.5" customHeight="1">
      <c r="C666" s="855"/>
      <c r="D666" s="856"/>
    </row>
    <row r="667" spans="3:4" ht="16.5" customHeight="1">
      <c r="C667" s="855"/>
      <c r="D667" s="856"/>
    </row>
    <row r="668" spans="3:4" ht="16.5" customHeight="1">
      <c r="C668" s="855"/>
      <c r="D668" s="856"/>
    </row>
    <row r="669" spans="3:4" ht="16.5" customHeight="1">
      <c r="C669" s="855"/>
      <c r="D669" s="856"/>
    </row>
    <row r="670" spans="3:4" ht="16.5" customHeight="1">
      <c r="C670" s="855"/>
      <c r="D670" s="856"/>
    </row>
    <row r="671" spans="3:4" ht="16.5" customHeight="1">
      <c r="C671" s="855"/>
      <c r="D671" s="856"/>
    </row>
    <row r="672" spans="3:4" ht="16.5" customHeight="1">
      <c r="C672" s="855"/>
      <c r="D672" s="856"/>
    </row>
    <row r="673" spans="3:4" ht="16.5" customHeight="1">
      <c r="C673" s="855"/>
      <c r="D673" s="856"/>
    </row>
    <row r="674" spans="3:4" ht="16.5" customHeight="1">
      <c r="C674" s="855"/>
      <c r="D674" s="856"/>
    </row>
    <row r="675" spans="3:4" ht="16.5" customHeight="1">
      <c r="C675" s="855"/>
      <c r="D675" s="856"/>
    </row>
    <row r="676" spans="3:4" ht="16.5" customHeight="1">
      <c r="C676" s="855"/>
      <c r="D676" s="856"/>
    </row>
    <row r="677" spans="3:4" ht="16.5" customHeight="1">
      <c r="C677" s="855"/>
      <c r="D677" s="856"/>
    </row>
    <row r="678" spans="3:4" ht="16.5" customHeight="1">
      <c r="C678" s="855"/>
      <c r="D678" s="856"/>
    </row>
    <row r="679" spans="3:4" ht="16.5" customHeight="1">
      <c r="C679" s="855"/>
      <c r="D679" s="856"/>
    </row>
    <row r="680" spans="3:4" ht="16.5" customHeight="1">
      <c r="C680" s="855"/>
      <c r="D680" s="856"/>
    </row>
    <row r="681" spans="3:4" ht="16.5" customHeight="1">
      <c r="C681" s="855"/>
      <c r="D681" s="856"/>
    </row>
    <row r="682" spans="3:4" ht="16.5" customHeight="1">
      <c r="C682" s="855"/>
      <c r="D682" s="856"/>
    </row>
    <row r="683" spans="3:4" ht="16.5" customHeight="1">
      <c r="C683" s="855"/>
      <c r="D683" s="856"/>
    </row>
    <row r="684" spans="3:4" ht="16.5" customHeight="1">
      <c r="C684" s="855"/>
      <c r="D684" s="856"/>
    </row>
    <row r="685" spans="3:4" ht="16.5" customHeight="1">
      <c r="C685" s="855"/>
      <c r="D685" s="856"/>
    </row>
    <row r="686" spans="3:4" ht="16.5" customHeight="1">
      <c r="C686" s="855"/>
      <c r="D686" s="856"/>
    </row>
    <row r="687" spans="3:4" ht="16.5" customHeight="1">
      <c r="C687" s="855"/>
      <c r="D687" s="856"/>
    </row>
    <row r="688" spans="3:4" ht="16.5" customHeight="1">
      <c r="C688" s="855"/>
      <c r="D688" s="856"/>
    </row>
    <row r="689" spans="3:4" ht="16.5" customHeight="1">
      <c r="C689" s="855"/>
      <c r="D689" s="856"/>
    </row>
    <row r="690" spans="3:4" ht="16.5" customHeight="1">
      <c r="C690" s="855"/>
      <c r="D690" s="856"/>
    </row>
    <row r="691" spans="3:4" ht="16.5" customHeight="1">
      <c r="C691" s="855"/>
      <c r="D691" s="856"/>
    </row>
    <row r="692" spans="3:4" ht="16.5" customHeight="1">
      <c r="C692" s="855"/>
      <c r="D692" s="856"/>
    </row>
    <row r="693" spans="3:4" ht="16.5" customHeight="1">
      <c r="C693" s="855"/>
      <c r="D693" s="856"/>
    </row>
    <row r="694" spans="3:4" ht="16.5" customHeight="1">
      <c r="C694" s="855"/>
      <c r="D694" s="856"/>
    </row>
    <row r="695" spans="3:4" ht="16.5" customHeight="1">
      <c r="C695" s="855"/>
      <c r="D695" s="856"/>
    </row>
    <row r="696" spans="3:4" ht="16.5" customHeight="1">
      <c r="C696" s="855"/>
      <c r="D696" s="856"/>
    </row>
    <row r="697" spans="3:4" ht="16.5" customHeight="1">
      <c r="C697" s="855"/>
      <c r="D697" s="856"/>
    </row>
    <row r="698" spans="3:4" ht="16.5" customHeight="1">
      <c r="C698" s="855"/>
      <c r="D698" s="856"/>
    </row>
    <row r="699" spans="3:4" ht="16.5" customHeight="1">
      <c r="C699" s="855"/>
      <c r="D699" s="856"/>
    </row>
    <row r="700" spans="3:4" ht="16.5" customHeight="1">
      <c r="C700" s="855"/>
      <c r="D700" s="856"/>
    </row>
    <row r="701" spans="3:4" ht="16.5" customHeight="1">
      <c r="C701" s="855"/>
      <c r="D701" s="856"/>
    </row>
    <row r="702" spans="3:4" ht="16.5" customHeight="1">
      <c r="C702" s="855"/>
      <c r="D702" s="856"/>
    </row>
    <row r="703" spans="3:4" ht="16.5" customHeight="1">
      <c r="C703" s="855"/>
      <c r="D703" s="856"/>
    </row>
    <row r="704" spans="3:4" ht="16.5" customHeight="1">
      <c r="C704" s="855"/>
      <c r="D704" s="856"/>
    </row>
    <row r="705" spans="3:4" ht="16.5" customHeight="1">
      <c r="C705" s="855"/>
      <c r="D705" s="856"/>
    </row>
    <row r="706" spans="3:4" ht="16.5" customHeight="1">
      <c r="C706" s="855"/>
      <c r="D706" s="856"/>
    </row>
    <row r="707" spans="3:4" ht="16.5" customHeight="1">
      <c r="C707" s="855"/>
      <c r="D707" s="856"/>
    </row>
    <row r="708" spans="3:4" ht="16.5" customHeight="1">
      <c r="C708" s="855"/>
      <c r="D708" s="856"/>
    </row>
    <row r="709" spans="3:4" ht="16.5" customHeight="1">
      <c r="C709" s="855"/>
      <c r="D709" s="856"/>
    </row>
    <row r="710" spans="3:4" ht="16.5" customHeight="1">
      <c r="C710" s="855"/>
      <c r="D710" s="856"/>
    </row>
    <row r="711" spans="3:4" ht="16.5" customHeight="1">
      <c r="C711" s="855"/>
      <c r="D711" s="856"/>
    </row>
    <row r="712" spans="3:4" ht="16.5" customHeight="1">
      <c r="C712" s="855"/>
      <c r="D712" s="856"/>
    </row>
    <row r="713" spans="3:4" ht="16.5" customHeight="1">
      <c r="C713" s="855"/>
      <c r="D713" s="856"/>
    </row>
    <row r="714" spans="3:4" ht="16.5" customHeight="1">
      <c r="C714" s="855"/>
      <c r="D714" s="856"/>
    </row>
    <row r="715" spans="3:4" ht="16.5" customHeight="1">
      <c r="C715" s="855"/>
      <c r="D715" s="856"/>
    </row>
    <row r="716" spans="3:4" ht="16.5" customHeight="1">
      <c r="C716" s="855"/>
      <c r="D716" s="856"/>
    </row>
    <row r="717" spans="3:4" ht="16.5" customHeight="1">
      <c r="C717" s="855"/>
      <c r="D717" s="856"/>
    </row>
    <row r="718" spans="3:4" ht="16.5" customHeight="1">
      <c r="C718" s="855"/>
      <c r="D718" s="856"/>
    </row>
    <row r="719" spans="3:4" ht="16.5" customHeight="1">
      <c r="C719" s="855"/>
      <c r="D719" s="856"/>
    </row>
    <row r="720" spans="3:4" ht="16.5" customHeight="1">
      <c r="C720" s="855"/>
      <c r="D720" s="856"/>
    </row>
    <row r="721" spans="3:4" ht="16.5" customHeight="1">
      <c r="C721" s="855"/>
      <c r="D721" s="856"/>
    </row>
    <row r="722" spans="3:4" ht="16.5" customHeight="1">
      <c r="C722" s="855"/>
      <c r="D722" s="856"/>
    </row>
    <row r="723" spans="3:4" ht="16.5" customHeight="1">
      <c r="C723" s="855"/>
      <c r="D723" s="856"/>
    </row>
    <row r="724" spans="3:4" ht="16.5" customHeight="1">
      <c r="C724" s="855"/>
      <c r="D724" s="856"/>
    </row>
    <row r="725" spans="3:4" ht="16.5" customHeight="1">
      <c r="C725" s="855"/>
      <c r="D725" s="856"/>
    </row>
    <row r="726" spans="3:4" ht="16.5" customHeight="1">
      <c r="C726" s="855"/>
      <c r="D726" s="856"/>
    </row>
    <row r="727" spans="3:4" ht="16.5" customHeight="1">
      <c r="C727" s="855"/>
      <c r="D727" s="856"/>
    </row>
    <row r="728" spans="3:4" ht="16.5" customHeight="1">
      <c r="C728" s="855"/>
      <c r="D728" s="856"/>
    </row>
    <row r="729" spans="3:4" ht="16.5" customHeight="1">
      <c r="C729" s="855"/>
      <c r="D729" s="856"/>
    </row>
    <row r="730" spans="3:4" ht="16.5" customHeight="1">
      <c r="C730" s="855"/>
      <c r="D730" s="856"/>
    </row>
    <row r="731" spans="3:4" ht="16.5" customHeight="1">
      <c r="C731" s="855"/>
      <c r="D731" s="856"/>
    </row>
    <row r="732" spans="3:4" ht="16.5" customHeight="1">
      <c r="C732" s="855"/>
      <c r="D732" s="856"/>
    </row>
    <row r="733" spans="3:4" ht="16.5" customHeight="1">
      <c r="C733" s="855"/>
      <c r="D733" s="856"/>
    </row>
    <row r="734" spans="3:4" ht="16.5" customHeight="1">
      <c r="C734" s="855"/>
      <c r="D734" s="856"/>
    </row>
    <row r="735" spans="3:4" ht="16.5" customHeight="1">
      <c r="C735" s="855"/>
      <c r="D735" s="856"/>
    </row>
    <row r="736" spans="3:4" ht="16.5" customHeight="1">
      <c r="C736" s="855"/>
      <c r="D736" s="856"/>
    </row>
    <row r="737" spans="3:4" ht="16.5" customHeight="1">
      <c r="C737" s="855"/>
      <c r="D737" s="856"/>
    </row>
    <row r="738" spans="3:4" ht="16.5" customHeight="1">
      <c r="C738" s="855"/>
      <c r="D738" s="856"/>
    </row>
    <row r="739" spans="3:4" ht="16.5" customHeight="1">
      <c r="C739" s="855"/>
      <c r="D739" s="856"/>
    </row>
    <row r="740" spans="3:4" ht="16.5" customHeight="1">
      <c r="C740" s="855"/>
      <c r="D740" s="856"/>
    </row>
    <row r="741" spans="3:4" ht="16.5" customHeight="1">
      <c r="C741" s="855"/>
      <c r="D741" s="856"/>
    </row>
    <row r="742" spans="3:4" ht="16.5" customHeight="1">
      <c r="C742" s="855"/>
      <c r="D742" s="856"/>
    </row>
    <row r="743" spans="3:4" ht="16.5" customHeight="1">
      <c r="C743" s="855"/>
      <c r="D743" s="856"/>
    </row>
    <row r="744" spans="3:4" ht="16.5" customHeight="1">
      <c r="C744" s="855"/>
      <c r="D744" s="856"/>
    </row>
    <row r="745" spans="3:4" ht="16.5" customHeight="1">
      <c r="C745" s="855"/>
      <c r="D745" s="856"/>
    </row>
    <row r="746" spans="3:4" ht="16.5" customHeight="1">
      <c r="C746" s="855"/>
      <c r="D746" s="856"/>
    </row>
    <row r="747" spans="3:4" ht="16.5" customHeight="1">
      <c r="C747" s="855"/>
      <c r="D747" s="856"/>
    </row>
    <row r="748" spans="3:4" ht="16.5" customHeight="1">
      <c r="C748" s="855"/>
      <c r="D748" s="856"/>
    </row>
    <row r="749" spans="3:4" ht="16.5" customHeight="1">
      <c r="C749" s="855"/>
      <c r="D749" s="856"/>
    </row>
    <row r="750" spans="3:4" ht="16.5" customHeight="1">
      <c r="C750" s="855"/>
      <c r="D750" s="856"/>
    </row>
    <row r="751" spans="3:4" ht="16.5" customHeight="1">
      <c r="C751" s="855"/>
      <c r="D751" s="856"/>
    </row>
    <row r="752" spans="3:4" ht="16.5" customHeight="1">
      <c r="C752" s="855"/>
      <c r="D752" s="856"/>
    </row>
    <row r="753" spans="3:4" ht="16.5" customHeight="1">
      <c r="C753" s="855"/>
      <c r="D753" s="856"/>
    </row>
    <row r="754" spans="3:4" ht="16.5" customHeight="1">
      <c r="C754" s="855"/>
      <c r="D754" s="856"/>
    </row>
    <row r="755" spans="3:4" ht="16.5" customHeight="1">
      <c r="C755" s="855"/>
      <c r="D755" s="856"/>
    </row>
    <row r="756" spans="3:4" ht="16.5" customHeight="1">
      <c r="C756" s="855"/>
      <c r="D756" s="856"/>
    </row>
    <row r="757" spans="3:4" ht="16.5" customHeight="1">
      <c r="C757" s="855"/>
      <c r="D757" s="856"/>
    </row>
    <row r="758" spans="3:4" ht="16.5" customHeight="1">
      <c r="C758" s="855"/>
      <c r="D758" s="856"/>
    </row>
    <row r="759" spans="3:4" ht="16.5" customHeight="1">
      <c r="C759" s="855"/>
      <c r="D759" s="856"/>
    </row>
    <row r="760" spans="3:4" ht="16.5" customHeight="1">
      <c r="C760" s="855"/>
      <c r="D760" s="856"/>
    </row>
    <row r="761" spans="3:4" ht="16.5" customHeight="1">
      <c r="C761" s="855"/>
      <c r="D761" s="856"/>
    </row>
    <row r="762" spans="3:4" ht="16.5" customHeight="1">
      <c r="C762" s="855"/>
      <c r="D762" s="856"/>
    </row>
    <row r="763" spans="3:4" ht="16.5" customHeight="1">
      <c r="C763" s="855"/>
      <c r="D763" s="856"/>
    </row>
    <row r="764" spans="3:4" ht="16.5" customHeight="1">
      <c r="C764" s="855"/>
      <c r="D764" s="856"/>
    </row>
    <row r="765" spans="3:4" ht="16.5" customHeight="1">
      <c r="C765" s="855"/>
      <c r="D765" s="856"/>
    </row>
    <row r="766" spans="3:4" ht="16.5" customHeight="1">
      <c r="C766" s="855"/>
      <c r="D766" s="856"/>
    </row>
    <row r="767" spans="3:4" ht="16.5" customHeight="1">
      <c r="C767" s="855"/>
      <c r="D767" s="856"/>
    </row>
    <row r="768" spans="3:4" ht="16.5" customHeight="1">
      <c r="C768" s="855"/>
      <c r="D768" s="856"/>
    </row>
    <row r="769" spans="3:4" ht="16.5" customHeight="1">
      <c r="C769" s="855"/>
      <c r="D769" s="856"/>
    </row>
    <row r="770" spans="3:4" ht="16.5" customHeight="1">
      <c r="C770" s="855"/>
      <c r="D770" s="856"/>
    </row>
    <row r="771" spans="3:4" ht="16.5" customHeight="1">
      <c r="C771" s="855"/>
      <c r="D771" s="856"/>
    </row>
    <row r="772" spans="3:4" ht="16.5" customHeight="1">
      <c r="C772" s="855"/>
      <c r="D772" s="856"/>
    </row>
    <row r="773" spans="3:4" ht="16.5" customHeight="1">
      <c r="C773" s="855"/>
      <c r="D773" s="856"/>
    </row>
    <row r="774" spans="3:4" ht="16.5" customHeight="1">
      <c r="C774" s="855"/>
      <c r="D774" s="856"/>
    </row>
    <row r="775" spans="3:4" ht="16.5" customHeight="1">
      <c r="C775" s="855"/>
      <c r="D775" s="856"/>
    </row>
    <row r="776" spans="3:4" ht="16.5" customHeight="1">
      <c r="C776" s="855"/>
      <c r="D776" s="856"/>
    </row>
    <row r="777" spans="3:4" ht="16.5" customHeight="1">
      <c r="C777" s="855"/>
      <c r="D777" s="856"/>
    </row>
    <row r="778" spans="3:4" ht="16.5" customHeight="1">
      <c r="C778" s="855"/>
      <c r="D778" s="856"/>
    </row>
    <row r="779" spans="3:4" ht="16.5" customHeight="1">
      <c r="C779" s="855"/>
      <c r="D779" s="856"/>
    </row>
    <row r="780" spans="3:4" ht="16.5" customHeight="1">
      <c r="C780" s="855"/>
      <c r="D780" s="856"/>
    </row>
    <row r="781" spans="3:4" ht="16.5" customHeight="1">
      <c r="C781" s="855"/>
      <c r="D781" s="856"/>
    </row>
    <row r="782" spans="3:4" ht="16.5" customHeight="1">
      <c r="C782" s="855"/>
      <c r="D782" s="856"/>
    </row>
    <row r="783" spans="3:4" ht="16.5" customHeight="1">
      <c r="C783" s="855"/>
      <c r="D783" s="856"/>
    </row>
    <row r="784" spans="3:4" ht="16.5" customHeight="1">
      <c r="C784" s="855"/>
      <c r="D784" s="856"/>
    </row>
    <row r="785" spans="3:4" ht="16.5" customHeight="1">
      <c r="C785" s="855"/>
      <c r="D785" s="856"/>
    </row>
    <row r="786" spans="3:4" ht="16.5" customHeight="1">
      <c r="C786" s="855"/>
      <c r="D786" s="856"/>
    </row>
    <row r="787" spans="3:4" ht="16.5" customHeight="1">
      <c r="C787" s="855"/>
      <c r="D787" s="856"/>
    </row>
    <row r="788" spans="3:4" ht="16.5" customHeight="1">
      <c r="C788" s="855"/>
      <c r="D788" s="856"/>
    </row>
    <row r="789" spans="3:4" ht="16.5" customHeight="1">
      <c r="C789" s="855"/>
      <c r="D789" s="856"/>
    </row>
    <row r="790" spans="3:4" ht="16.5" customHeight="1">
      <c r="C790" s="855"/>
      <c r="D790" s="856"/>
    </row>
    <row r="791" spans="3:4" ht="16.5" customHeight="1">
      <c r="C791" s="855"/>
      <c r="D791" s="856"/>
    </row>
    <row r="792" spans="3:4" ht="16.5" customHeight="1">
      <c r="C792" s="855"/>
      <c r="D792" s="856"/>
    </row>
    <row r="793" spans="3:4" ht="16.5" customHeight="1">
      <c r="C793" s="855"/>
      <c r="D793" s="856"/>
    </row>
    <row r="794" spans="3:4" ht="16.5" customHeight="1">
      <c r="C794" s="855"/>
      <c r="D794" s="856"/>
    </row>
    <row r="795" spans="3:4" ht="16.5" customHeight="1">
      <c r="C795" s="855"/>
      <c r="D795" s="856"/>
    </row>
    <row r="796" spans="3:4" ht="16.5" customHeight="1">
      <c r="C796" s="855"/>
      <c r="D796" s="856"/>
    </row>
    <row r="797" spans="3:4" ht="16.5" customHeight="1">
      <c r="C797" s="855"/>
      <c r="D797" s="856"/>
    </row>
    <row r="798" spans="3:4" ht="16.5" customHeight="1">
      <c r="C798" s="855"/>
      <c r="D798" s="856"/>
    </row>
    <row r="799" spans="3:4" ht="16.5" customHeight="1">
      <c r="C799" s="855"/>
      <c r="D799" s="856"/>
    </row>
    <row r="800" spans="3:4" ht="16.5" customHeight="1">
      <c r="C800" s="855"/>
      <c r="D800" s="856"/>
    </row>
    <row r="801" spans="3:4" ht="16.5" customHeight="1">
      <c r="C801" s="855"/>
      <c r="D801" s="856"/>
    </row>
    <row r="802" spans="3:4" ht="16.5" customHeight="1">
      <c r="C802" s="855"/>
      <c r="D802" s="856"/>
    </row>
    <row r="803" spans="3:4" ht="16.5" customHeight="1">
      <c r="C803" s="855"/>
      <c r="D803" s="856"/>
    </row>
    <row r="804" spans="3:4" ht="16.5" customHeight="1">
      <c r="C804" s="855"/>
      <c r="D804" s="856"/>
    </row>
    <row r="805" spans="3:4" ht="16.5" customHeight="1">
      <c r="C805" s="855"/>
      <c r="D805" s="856"/>
    </row>
    <row r="806" spans="3:4" ht="16.5" customHeight="1">
      <c r="C806" s="855"/>
      <c r="D806" s="856"/>
    </row>
    <row r="807" spans="3:4" ht="16.5" customHeight="1">
      <c r="C807" s="855"/>
      <c r="D807" s="856"/>
    </row>
    <row r="808" spans="3:4" ht="16.5" customHeight="1">
      <c r="C808" s="855"/>
      <c r="D808" s="856"/>
    </row>
    <row r="809" spans="3:4" ht="16.5" customHeight="1">
      <c r="C809" s="855"/>
      <c r="D809" s="856"/>
    </row>
    <row r="810" spans="3:4" ht="16.5" customHeight="1">
      <c r="C810" s="855"/>
      <c r="D810" s="856"/>
    </row>
    <row r="811" spans="3:4" ht="16.5" customHeight="1">
      <c r="C811" s="855"/>
      <c r="D811" s="856"/>
    </row>
    <row r="812" spans="3:4" ht="16.5" customHeight="1">
      <c r="C812" s="855"/>
      <c r="D812" s="856"/>
    </row>
    <row r="813" spans="3:4" ht="16.5" customHeight="1">
      <c r="C813" s="855"/>
      <c r="D813" s="856"/>
    </row>
    <row r="814" spans="3:4" ht="16.5" customHeight="1">
      <c r="C814" s="855"/>
      <c r="D814" s="856"/>
    </row>
    <row r="815" spans="3:4" ht="16.5" customHeight="1">
      <c r="C815" s="855"/>
      <c r="D815" s="856"/>
    </row>
    <row r="816" spans="3:4" ht="16.5" customHeight="1">
      <c r="C816" s="855"/>
      <c r="D816" s="856"/>
    </row>
    <row r="817" spans="3:4" ht="16.5" customHeight="1">
      <c r="C817" s="855"/>
      <c r="D817" s="856"/>
    </row>
    <row r="818" spans="3:4" ht="16.5" customHeight="1">
      <c r="C818" s="855"/>
      <c r="D818" s="856"/>
    </row>
    <row r="819" spans="3:4" ht="16.5" customHeight="1">
      <c r="C819" s="855"/>
      <c r="D819" s="856"/>
    </row>
    <row r="820" spans="3:4" ht="16.5" customHeight="1">
      <c r="C820" s="855"/>
      <c r="D820" s="856"/>
    </row>
    <row r="821" spans="3:4" ht="16.5" customHeight="1">
      <c r="C821" s="855"/>
      <c r="D821" s="856"/>
    </row>
    <row r="822" spans="3:4" ht="16.5" customHeight="1">
      <c r="C822" s="855"/>
      <c r="D822" s="856"/>
    </row>
    <row r="823" spans="3:4" ht="16.5" customHeight="1">
      <c r="C823" s="855"/>
      <c r="D823" s="856"/>
    </row>
    <row r="824" spans="3:4" ht="16.5" customHeight="1">
      <c r="C824" s="855"/>
      <c r="D824" s="856"/>
    </row>
    <row r="825" spans="3:4" ht="16.5" customHeight="1">
      <c r="C825" s="855"/>
      <c r="D825" s="856"/>
    </row>
    <row r="826" spans="3:4" ht="16.5" customHeight="1">
      <c r="C826" s="855"/>
      <c r="D826" s="856"/>
    </row>
    <row r="827" spans="3:4" ht="16.5" customHeight="1">
      <c r="C827" s="855"/>
      <c r="D827" s="856"/>
    </row>
    <row r="828" spans="3:4" ht="16.5" customHeight="1">
      <c r="C828" s="855"/>
      <c r="D828" s="856"/>
    </row>
    <row r="829" spans="3:4" ht="16.5" customHeight="1">
      <c r="C829" s="855"/>
      <c r="D829" s="856"/>
    </row>
    <row r="830" spans="3:4" ht="16.5" customHeight="1">
      <c r="C830" s="855"/>
      <c r="D830" s="856"/>
    </row>
    <row r="831" spans="3:4" ht="16.5" customHeight="1">
      <c r="C831" s="855"/>
      <c r="D831" s="856"/>
    </row>
    <row r="832" spans="3:4" ht="16.5" customHeight="1">
      <c r="C832" s="855"/>
      <c r="D832" s="856"/>
    </row>
    <row r="833" spans="3:4" ht="16.5" customHeight="1">
      <c r="C833" s="855"/>
      <c r="D833" s="856"/>
    </row>
    <row r="834" spans="3:4" ht="16.5" customHeight="1">
      <c r="C834" s="855"/>
      <c r="D834" s="856"/>
    </row>
    <row r="835" spans="3:4" ht="16.5" customHeight="1">
      <c r="C835" s="855"/>
      <c r="D835" s="856"/>
    </row>
    <row r="836" spans="3:4" ht="16.5" customHeight="1">
      <c r="C836" s="855"/>
      <c r="D836" s="856"/>
    </row>
    <row r="837" spans="3:4" ht="16.5" customHeight="1">
      <c r="C837" s="855"/>
      <c r="D837" s="856"/>
    </row>
    <row r="838" spans="3:4" ht="16.5" customHeight="1">
      <c r="C838" s="855"/>
      <c r="D838" s="856"/>
    </row>
    <row r="839" spans="3:4" ht="16.5" customHeight="1">
      <c r="C839" s="855"/>
      <c r="D839" s="856"/>
    </row>
    <row r="840" spans="3:4" ht="16.5" customHeight="1">
      <c r="C840" s="855"/>
      <c r="D840" s="856"/>
    </row>
    <row r="841" spans="3:4" ht="16.5" customHeight="1">
      <c r="C841" s="855"/>
      <c r="D841" s="856"/>
    </row>
    <row r="842" spans="3:4" ht="16.5" customHeight="1">
      <c r="C842" s="855"/>
      <c r="D842" s="856"/>
    </row>
    <row r="843" spans="3:4" ht="16.5" customHeight="1">
      <c r="C843" s="855"/>
      <c r="D843" s="856"/>
    </row>
    <row r="844" spans="3:4" ht="16.5" customHeight="1">
      <c r="C844" s="855"/>
      <c r="D844" s="856"/>
    </row>
    <row r="845" spans="3:4" ht="16.5" customHeight="1">
      <c r="C845" s="855"/>
      <c r="D845" s="856"/>
    </row>
    <row r="846" spans="3:4" ht="16.5" customHeight="1">
      <c r="C846" s="855"/>
      <c r="D846" s="856"/>
    </row>
    <row r="847" spans="3:4" ht="16.5" customHeight="1">
      <c r="C847" s="855"/>
      <c r="D847" s="856"/>
    </row>
    <row r="848" spans="3:4" ht="16.5" customHeight="1">
      <c r="C848" s="855"/>
      <c r="D848" s="856"/>
    </row>
    <row r="849" spans="3:4" ht="16.5" customHeight="1">
      <c r="C849" s="855"/>
      <c r="D849" s="856"/>
    </row>
    <row r="850" spans="3:4" ht="16.5" customHeight="1">
      <c r="C850" s="855"/>
      <c r="D850" s="856"/>
    </row>
    <row r="851" spans="3:4" ht="16.5" customHeight="1">
      <c r="C851" s="855"/>
      <c r="D851" s="856"/>
    </row>
    <row r="852" spans="3:4" ht="16.5" customHeight="1">
      <c r="C852" s="855"/>
      <c r="D852" s="856"/>
    </row>
    <row r="853" spans="3:4" ht="16.5" customHeight="1">
      <c r="C853" s="855"/>
      <c r="D853" s="856"/>
    </row>
    <row r="854" spans="3:4" ht="16.5" customHeight="1">
      <c r="C854" s="855"/>
      <c r="D854" s="856"/>
    </row>
    <row r="855" spans="3:4" ht="16.5" customHeight="1">
      <c r="C855" s="855"/>
      <c r="D855" s="856"/>
    </row>
    <row r="856" spans="3:4" ht="16.5" customHeight="1">
      <c r="C856" s="855"/>
      <c r="D856" s="856"/>
    </row>
    <row r="857" spans="3:4" ht="16.5" customHeight="1">
      <c r="C857" s="855"/>
      <c r="D857" s="856"/>
    </row>
    <row r="858" spans="3:4" ht="16.5" customHeight="1">
      <c r="C858" s="855"/>
      <c r="D858" s="856"/>
    </row>
    <row r="859" spans="3:4" ht="16.5" customHeight="1">
      <c r="C859" s="855"/>
      <c r="D859" s="856"/>
    </row>
    <row r="860" spans="3:4" ht="16.5" customHeight="1">
      <c r="C860" s="855"/>
      <c r="D860" s="856"/>
    </row>
    <row r="861" spans="3:4" ht="16.5" customHeight="1">
      <c r="C861" s="855"/>
      <c r="D861" s="856"/>
    </row>
    <row r="862" spans="3:4" ht="16.5" customHeight="1">
      <c r="C862" s="855"/>
      <c r="D862" s="856"/>
    </row>
    <row r="863" spans="3:4" ht="16.5" customHeight="1">
      <c r="C863" s="855"/>
      <c r="D863" s="856"/>
    </row>
    <row r="864" spans="3:4" ht="16.5" customHeight="1">
      <c r="C864" s="855"/>
      <c r="D864" s="856"/>
    </row>
    <row r="865" spans="3:4" ht="16.5" customHeight="1">
      <c r="C865" s="855"/>
      <c r="D865" s="856"/>
    </row>
    <row r="866" spans="3:4" ht="16.5" customHeight="1">
      <c r="C866" s="855"/>
      <c r="D866" s="856"/>
    </row>
    <row r="867" spans="3:4" ht="16.5" customHeight="1">
      <c r="C867" s="855"/>
      <c r="D867" s="856"/>
    </row>
    <row r="868" spans="3:4" ht="16.5" customHeight="1">
      <c r="C868" s="855"/>
      <c r="D868" s="856"/>
    </row>
    <row r="869" spans="3:4" ht="16.5" customHeight="1">
      <c r="C869" s="855"/>
      <c r="D869" s="856"/>
    </row>
    <row r="870" spans="3:4" ht="16.5" customHeight="1">
      <c r="C870" s="855"/>
      <c r="D870" s="856"/>
    </row>
    <row r="871" spans="3:4" ht="16.5" customHeight="1">
      <c r="C871" s="855"/>
      <c r="D871" s="856"/>
    </row>
    <row r="872" spans="3:4" ht="16.5" customHeight="1">
      <c r="C872" s="855"/>
      <c r="D872" s="856"/>
    </row>
    <row r="873" spans="3:4" ht="16.5" customHeight="1">
      <c r="C873" s="855"/>
      <c r="D873" s="856"/>
    </row>
    <row r="874" spans="3:4" ht="16.5" customHeight="1">
      <c r="C874" s="855"/>
      <c r="D874" s="856"/>
    </row>
    <row r="875" spans="3:4" ht="16.5" customHeight="1">
      <c r="C875" s="855"/>
      <c r="D875" s="856"/>
    </row>
    <row r="876" spans="3:4" ht="16.5" customHeight="1">
      <c r="C876" s="855"/>
      <c r="D876" s="856"/>
    </row>
    <row r="877" spans="3:4" ht="16.5" customHeight="1">
      <c r="C877" s="855"/>
      <c r="D877" s="856"/>
    </row>
    <row r="878" spans="3:4" ht="16.5" customHeight="1">
      <c r="C878" s="855"/>
      <c r="D878" s="856"/>
    </row>
    <row r="879" spans="3:4" ht="16.5" customHeight="1">
      <c r="C879" s="855"/>
      <c r="D879" s="856"/>
    </row>
    <row r="880" spans="3:4" ht="16.5" customHeight="1">
      <c r="C880" s="855"/>
      <c r="D880" s="856"/>
    </row>
    <row r="881" spans="3:4" ht="16.5" customHeight="1">
      <c r="C881" s="855"/>
      <c r="D881" s="856"/>
    </row>
    <row r="882" spans="3:4" ht="16.5" customHeight="1">
      <c r="C882" s="855"/>
      <c r="D882" s="856"/>
    </row>
    <row r="883" spans="3:4" ht="16.5" customHeight="1">
      <c r="C883" s="855"/>
      <c r="D883" s="856"/>
    </row>
    <row r="884" spans="3:4" ht="16.5" customHeight="1">
      <c r="C884" s="855"/>
      <c r="D884" s="856"/>
    </row>
    <row r="885" spans="3:4" ht="16.5" customHeight="1">
      <c r="C885" s="855"/>
      <c r="D885" s="856"/>
    </row>
    <row r="886" spans="3:4" ht="16.5" customHeight="1">
      <c r="C886" s="855"/>
      <c r="D886" s="856"/>
    </row>
    <row r="887" spans="3:4" ht="16.5" customHeight="1">
      <c r="C887" s="855"/>
      <c r="D887" s="856"/>
    </row>
    <row r="888" spans="3:4" ht="16.5" customHeight="1">
      <c r="C888" s="855"/>
      <c r="D888" s="856"/>
    </row>
    <row r="889" spans="3:4" ht="16.5" customHeight="1">
      <c r="C889" s="855"/>
      <c r="D889" s="856"/>
    </row>
    <row r="890" spans="3:4" ht="16.5" customHeight="1">
      <c r="C890" s="855"/>
      <c r="D890" s="856"/>
    </row>
    <row r="891" spans="3:4" ht="16.5" customHeight="1">
      <c r="C891" s="855"/>
      <c r="D891" s="856"/>
    </row>
    <row r="892" spans="3:4" ht="16.5" customHeight="1">
      <c r="C892" s="855"/>
      <c r="D892" s="856"/>
    </row>
    <row r="893" spans="3:4" ht="16.5" customHeight="1">
      <c r="C893" s="855"/>
      <c r="D893" s="856"/>
    </row>
    <row r="894" spans="3:4" ht="16.5" customHeight="1">
      <c r="C894" s="855"/>
      <c r="D894" s="856"/>
    </row>
    <row r="895" spans="3:4" ht="16.5" customHeight="1">
      <c r="C895" s="855"/>
      <c r="D895" s="856"/>
    </row>
    <row r="896" spans="3:4" ht="16.5" customHeight="1">
      <c r="C896" s="855"/>
      <c r="D896" s="856"/>
    </row>
    <row r="897" spans="3:4" ht="16.5" customHeight="1">
      <c r="C897" s="855"/>
      <c r="D897" s="856"/>
    </row>
    <row r="898" spans="3:4" ht="16.5" customHeight="1">
      <c r="C898" s="855"/>
      <c r="D898" s="856"/>
    </row>
    <row r="899" spans="3:4" ht="16.5" customHeight="1">
      <c r="C899" s="855"/>
      <c r="D899" s="856"/>
    </row>
    <row r="900" spans="3:4" ht="16.5" customHeight="1">
      <c r="C900" s="855"/>
      <c r="D900" s="856"/>
    </row>
    <row r="901" spans="3:4" ht="16.5" customHeight="1">
      <c r="C901" s="855"/>
      <c r="D901" s="856"/>
    </row>
    <row r="902" spans="3:4" ht="16.5" customHeight="1">
      <c r="C902" s="855"/>
      <c r="D902" s="856"/>
    </row>
    <row r="903" spans="3:4" ht="16.5" customHeight="1">
      <c r="C903" s="855"/>
      <c r="D903" s="856"/>
    </row>
    <row r="904" spans="3:4" ht="16.5" customHeight="1">
      <c r="C904" s="855"/>
      <c r="D904" s="856"/>
    </row>
    <row r="905" spans="3:4" ht="16.5" customHeight="1">
      <c r="C905" s="855"/>
      <c r="D905" s="856"/>
    </row>
    <row r="906" spans="3:4" ht="16.5" customHeight="1">
      <c r="C906" s="855"/>
      <c r="D906" s="856"/>
    </row>
    <row r="907" spans="3:4" ht="16.5" customHeight="1">
      <c r="C907" s="855"/>
      <c r="D907" s="856"/>
    </row>
    <row r="908" spans="3:4" ht="16.5" customHeight="1">
      <c r="C908" s="855"/>
      <c r="D908" s="856"/>
    </row>
    <row r="909" spans="3:4" ht="16.5" customHeight="1">
      <c r="C909" s="855"/>
      <c r="D909" s="856"/>
    </row>
    <row r="910" spans="3:4" ht="16.5" customHeight="1">
      <c r="C910" s="855"/>
      <c r="D910" s="856"/>
    </row>
    <row r="911" spans="3:4" ht="16.5" customHeight="1">
      <c r="C911" s="855"/>
      <c r="D911" s="856"/>
    </row>
    <row r="912" spans="3:4" ht="16.5" customHeight="1">
      <c r="C912" s="855"/>
      <c r="D912" s="856"/>
    </row>
    <row r="913" spans="3:4" ht="16.5" customHeight="1">
      <c r="C913" s="855"/>
      <c r="D913" s="856"/>
    </row>
    <row r="914" spans="3:4" ht="16.5" customHeight="1">
      <c r="C914" s="855"/>
      <c r="D914" s="856"/>
    </row>
    <row r="915" spans="3:4" ht="16.5" customHeight="1">
      <c r="C915" s="855"/>
      <c r="D915" s="856"/>
    </row>
    <row r="916" spans="3:4" ht="16.5" customHeight="1">
      <c r="C916" s="855"/>
      <c r="D916" s="856"/>
    </row>
    <row r="917" spans="3:4" ht="16.5" customHeight="1">
      <c r="C917" s="855"/>
      <c r="D917" s="856"/>
    </row>
    <row r="918" spans="3:4" ht="16.5" customHeight="1">
      <c r="C918" s="855"/>
      <c r="D918" s="856"/>
    </row>
    <row r="919" spans="3:4" ht="16.5" customHeight="1">
      <c r="C919" s="855"/>
      <c r="D919" s="856"/>
    </row>
    <row r="920" spans="3:4" ht="16.5" customHeight="1">
      <c r="C920" s="855"/>
      <c r="D920" s="856"/>
    </row>
    <row r="921" spans="3:4" ht="16.5" customHeight="1">
      <c r="C921" s="855"/>
      <c r="D921" s="856"/>
    </row>
    <row r="922" spans="3:4" ht="16.5" customHeight="1">
      <c r="C922" s="855"/>
      <c r="D922" s="856"/>
    </row>
    <row r="923" spans="3:4" ht="16.5" customHeight="1">
      <c r="C923" s="855"/>
      <c r="D923" s="856"/>
    </row>
    <row r="924" spans="3:4" ht="16.5" customHeight="1">
      <c r="C924" s="855"/>
      <c r="D924" s="856"/>
    </row>
    <row r="925" spans="3:4" ht="16.5" customHeight="1">
      <c r="C925" s="855"/>
      <c r="D925" s="856"/>
    </row>
    <row r="926" spans="3:4" ht="16.5" customHeight="1">
      <c r="C926" s="855"/>
      <c r="D926" s="856"/>
    </row>
    <row r="927" spans="3:4" ht="16.5" customHeight="1">
      <c r="C927" s="855"/>
      <c r="D927" s="856"/>
    </row>
    <row r="928" spans="3:4" ht="16.5" customHeight="1">
      <c r="C928" s="855"/>
      <c r="D928" s="856"/>
    </row>
    <row r="929" spans="3:4" ht="16.5" customHeight="1">
      <c r="C929" s="855"/>
      <c r="D929" s="856"/>
    </row>
    <row r="930" spans="3:4" ht="16.5" customHeight="1">
      <c r="C930" s="855"/>
      <c r="D930" s="856"/>
    </row>
    <row r="931" spans="3:4" ht="16.5" customHeight="1">
      <c r="C931" s="855"/>
      <c r="D931" s="856"/>
    </row>
    <row r="932" spans="3:4" ht="16.5" customHeight="1">
      <c r="C932" s="855"/>
      <c r="D932" s="856"/>
    </row>
    <row r="933" spans="3:4" ht="16.5" customHeight="1">
      <c r="C933" s="855"/>
      <c r="D933" s="856"/>
    </row>
    <row r="934" spans="3:4" ht="16.5" customHeight="1">
      <c r="C934" s="855"/>
      <c r="D934" s="856"/>
    </row>
    <row r="935" spans="3:4" ht="16.5" customHeight="1">
      <c r="C935" s="855"/>
      <c r="D935" s="856"/>
    </row>
    <row r="936" spans="3:4" ht="16.5" customHeight="1">
      <c r="C936" s="855"/>
      <c r="D936" s="856"/>
    </row>
    <row r="937" spans="3:4" ht="16.5" customHeight="1">
      <c r="C937" s="855"/>
      <c r="D937" s="856"/>
    </row>
    <row r="938" spans="3:4" ht="16.5" customHeight="1">
      <c r="C938" s="855"/>
      <c r="D938" s="856"/>
    </row>
    <row r="939" spans="3:4" ht="16.5" customHeight="1">
      <c r="C939" s="855"/>
      <c r="D939" s="856"/>
    </row>
    <row r="940" spans="3:4" ht="16.5" customHeight="1">
      <c r="C940" s="855"/>
      <c r="D940" s="856"/>
    </row>
    <row r="941" spans="3:4" ht="16.5" customHeight="1">
      <c r="C941" s="855"/>
      <c r="D941" s="856"/>
    </row>
    <row r="942" spans="3:4" ht="16.5" customHeight="1">
      <c r="C942" s="855"/>
      <c r="D942" s="856"/>
    </row>
    <row r="943" spans="3:4" ht="16.5" customHeight="1">
      <c r="C943" s="855"/>
      <c r="D943" s="856"/>
    </row>
    <row r="944" spans="3:4" ht="16.5" customHeight="1">
      <c r="C944" s="855"/>
      <c r="D944" s="856"/>
    </row>
    <row r="945" spans="3:4" ht="16.5" customHeight="1">
      <c r="C945" s="855"/>
      <c r="D945" s="856"/>
    </row>
    <row r="946" spans="3:4" ht="16.5" customHeight="1">
      <c r="C946" s="855"/>
      <c r="D946" s="856"/>
    </row>
    <row r="947" spans="3:4" ht="16.5" customHeight="1">
      <c r="C947" s="855"/>
      <c r="D947" s="856"/>
    </row>
    <row r="948" spans="3:4" ht="16.5" customHeight="1">
      <c r="C948" s="855"/>
      <c r="D948" s="856"/>
    </row>
    <row r="949" spans="3:4" ht="16.5" customHeight="1">
      <c r="C949" s="855"/>
      <c r="D949" s="856"/>
    </row>
    <row r="950" spans="3:4" ht="16.5" customHeight="1">
      <c r="C950" s="855"/>
      <c r="D950" s="856"/>
    </row>
    <row r="951" spans="3:4" ht="16.5" customHeight="1">
      <c r="C951" s="855"/>
      <c r="D951" s="856"/>
    </row>
    <row r="952" spans="3:4" ht="16.5" customHeight="1">
      <c r="C952" s="855"/>
      <c r="D952" s="856"/>
    </row>
    <row r="953" spans="3:4" ht="16.5" customHeight="1">
      <c r="C953" s="855"/>
      <c r="D953" s="856"/>
    </row>
    <row r="954" spans="3:4" ht="16.5" customHeight="1">
      <c r="C954" s="855"/>
      <c r="D954" s="856"/>
    </row>
    <row r="955" spans="3:4" ht="16.5" customHeight="1">
      <c r="C955" s="855"/>
      <c r="D955" s="856"/>
    </row>
    <row r="956" spans="3:4" ht="16.5" customHeight="1">
      <c r="C956" s="855"/>
      <c r="D956" s="856"/>
    </row>
    <row r="957" spans="3:4" ht="16.5" customHeight="1">
      <c r="C957" s="855"/>
      <c r="D957" s="856"/>
    </row>
    <row r="958" spans="3:4" ht="16.5" customHeight="1">
      <c r="C958" s="855"/>
      <c r="D958" s="856"/>
    </row>
    <row r="959" spans="3:4" ht="16.5" customHeight="1">
      <c r="C959" s="855"/>
      <c r="D959" s="856"/>
    </row>
    <row r="960" spans="3:4" ht="16.5" customHeight="1">
      <c r="C960" s="855"/>
      <c r="D960" s="856"/>
    </row>
    <row r="961" spans="3:4" ht="16.5" customHeight="1">
      <c r="C961" s="855"/>
      <c r="D961" s="856"/>
    </row>
    <row r="962" spans="3:4" ht="16.5" customHeight="1">
      <c r="C962" s="855"/>
      <c r="D962" s="856"/>
    </row>
    <row r="963" spans="3:4" ht="16.5" customHeight="1">
      <c r="C963" s="855"/>
      <c r="D963" s="856"/>
    </row>
    <row r="964" spans="3:4" ht="16.5" customHeight="1">
      <c r="C964" s="855"/>
      <c r="D964" s="856"/>
    </row>
    <row r="965" spans="3:4" ht="16.5" customHeight="1">
      <c r="C965" s="855"/>
      <c r="D965" s="856"/>
    </row>
    <row r="966" spans="3:4" ht="16.5" customHeight="1">
      <c r="C966" s="855"/>
      <c r="D966" s="856"/>
    </row>
    <row r="967" spans="3:4" ht="16.5" customHeight="1">
      <c r="C967" s="855"/>
      <c r="D967" s="856"/>
    </row>
    <row r="968" spans="3:4" ht="16.5" customHeight="1">
      <c r="C968" s="855"/>
      <c r="D968" s="856"/>
    </row>
    <row r="969" spans="3:4" ht="16.5" customHeight="1">
      <c r="C969" s="855"/>
      <c r="D969" s="856"/>
    </row>
    <row r="970" spans="3:4" ht="16.5" customHeight="1">
      <c r="C970" s="855"/>
      <c r="D970" s="856"/>
    </row>
    <row r="971" spans="3:4" ht="16.5" customHeight="1">
      <c r="C971" s="855"/>
      <c r="D971" s="856"/>
    </row>
    <row r="972" spans="3:4" ht="16.5" customHeight="1">
      <c r="C972" s="855"/>
      <c r="D972" s="856"/>
    </row>
    <row r="973" spans="3:4" ht="16.5" customHeight="1">
      <c r="C973" s="855"/>
      <c r="D973" s="856"/>
    </row>
    <row r="974" spans="3:4" ht="16.5" customHeight="1">
      <c r="C974" s="855"/>
      <c r="D974" s="856"/>
    </row>
    <row r="975" spans="3:4" ht="16.5" customHeight="1">
      <c r="C975" s="855"/>
      <c r="D975" s="856"/>
    </row>
    <row r="976" spans="3:4" ht="16.5" customHeight="1">
      <c r="C976" s="855"/>
      <c r="D976" s="856"/>
    </row>
    <row r="977" spans="3:4" ht="16.5" customHeight="1">
      <c r="C977" s="855"/>
      <c r="D977" s="856"/>
    </row>
    <row r="978" spans="3:4" ht="16.5" customHeight="1">
      <c r="C978" s="855"/>
      <c r="D978" s="856"/>
    </row>
    <row r="979" spans="3:4" ht="16.5" customHeight="1">
      <c r="C979" s="855"/>
      <c r="D979" s="856"/>
    </row>
    <row r="980" spans="3:4" ht="16.5" customHeight="1">
      <c r="C980" s="855"/>
      <c r="D980" s="856"/>
    </row>
    <row r="981" spans="3:4" ht="16.5" customHeight="1">
      <c r="C981" s="855"/>
      <c r="D981" s="856"/>
    </row>
    <row r="982" spans="3:4" ht="16.5" customHeight="1">
      <c r="C982" s="855"/>
      <c r="D982" s="856"/>
    </row>
    <row r="983" spans="3:4" ht="16.5" customHeight="1">
      <c r="C983" s="855"/>
      <c r="D983" s="856"/>
    </row>
    <row r="984" spans="3:4" ht="16.5" customHeight="1">
      <c r="C984" s="855"/>
      <c r="D984" s="856"/>
    </row>
    <row r="985" spans="3:4" ht="16.5" customHeight="1">
      <c r="C985" s="855"/>
      <c r="D985" s="856"/>
    </row>
    <row r="986" spans="3:4" ht="16.5" customHeight="1">
      <c r="C986" s="855"/>
      <c r="D986" s="856"/>
    </row>
    <row r="987" spans="3:4" ht="16.5" customHeight="1">
      <c r="C987" s="855"/>
      <c r="D987" s="856"/>
    </row>
    <row r="988" spans="3:4" ht="16.5" customHeight="1">
      <c r="C988" s="855"/>
      <c r="D988" s="856"/>
    </row>
    <row r="989" spans="3:4" ht="16.5" customHeight="1">
      <c r="C989" s="855"/>
      <c r="D989" s="856"/>
    </row>
    <row r="990" spans="3:4" ht="16.5" customHeight="1">
      <c r="C990" s="855"/>
      <c r="D990" s="856"/>
    </row>
    <row r="991" spans="3:4" ht="16.5" customHeight="1">
      <c r="C991" s="855"/>
      <c r="D991" s="856"/>
    </row>
    <row r="992" spans="3:4" ht="16.5" customHeight="1">
      <c r="C992" s="855"/>
      <c r="D992" s="856"/>
    </row>
    <row r="993" spans="3:4" ht="16.5" customHeight="1">
      <c r="C993" s="855"/>
      <c r="D993" s="856"/>
    </row>
    <row r="994" spans="3:4" ht="16.5" customHeight="1">
      <c r="C994" s="855"/>
      <c r="D994" s="856"/>
    </row>
    <row r="995" spans="3:4" ht="16.5" customHeight="1">
      <c r="C995" s="855"/>
      <c r="D995" s="856"/>
    </row>
    <row r="996" spans="3:4" ht="16.5" customHeight="1">
      <c r="C996" s="855"/>
      <c r="D996" s="856"/>
    </row>
    <row r="997" spans="3:4" ht="16.5" customHeight="1">
      <c r="C997" s="855"/>
      <c r="D997" s="856"/>
    </row>
    <row r="998" spans="3:4" ht="16.5" customHeight="1">
      <c r="C998" s="855"/>
      <c r="D998" s="856"/>
    </row>
    <row r="999" spans="3:4" ht="16.5" customHeight="1">
      <c r="C999" s="855"/>
      <c r="D999" s="856"/>
    </row>
    <row r="1000" spans="3:4" ht="16.5" customHeight="1">
      <c r="C1000" s="855"/>
      <c r="D1000" s="856"/>
    </row>
  </sheetData>
  <mergeCells count="14">
    <mergeCell ref="B69:B71"/>
    <mergeCell ref="B72:B74"/>
    <mergeCell ref="A2:A7"/>
    <mergeCell ref="B2:B7"/>
    <mergeCell ref="C2:C7"/>
    <mergeCell ref="B8:B15"/>
    <mergeCell ref="B16:B23"/>
    <mergeCell ref="B24:B29"/>
    <mergeCell ref="B30:B35"/>
    <mergeCell ref="B36:B41"/>
    <mergeCell ref="B42:B47"/>
    <mergeCell ref="B48:B53"/>
    <mergeCell ref="B63:B65"/>
    <mergeCell ref="B66:B68"/>
  </mergeCells>
  <phoneticPr fontId="86" type="noConversion"/>
  <conditionalFormatting sqref="C63:C65">
    <cfRule type="cellIs" dxfId="7" priority="1" operator="lessThan">
      <formula>$D$57</formula>
    </cfRule>
    <cfRule type="cellIs" dxfId="6" priority="2" operator="lessThan">
      <formula>$D$80</formula>
    </cfRule>
  </conditionalFormatting>
  <conditionalFormatting sqref="C66:C68">
    <cfRule type="cellIs" dxfId="5" priority="3" operator="lessThan">
      <formula>$D$58</formula>
    </cfRule>
    <cfRule type="cellIs" dxfId="4" priority="4" operator="lessThan">
      <formula>$D$81</formula>
    </cfRule>
  </conditionalFormatting>
  <conditionalFormatting sqref="C69:C71">
    <cfRule type="cellIs" dxfId="3" priority="5" operator="lessThan">
      <formula>$D$59</formula>
    </cfRule>
    <cfRule type="cellIs" dxfId="2" priority="6" operator="lessThan">
      <formula>$D$82</formula>
    </cfRule>
  </conditionalFormatting>
  <conditionalFormatting sqref="C72:C74">
    <cfRule type="cellIs" dxfId="1" priority="7" operator="lessThan">
      <formula>$D$60</formula>
    </cfRule>
    <cfRule type="cellIs" dxfId="0" priority="8" operator="lessThan">
      <formula>$D$83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Domestic_2608 (27년 1월 증량 확정 &gt; 세</vt:lpstr>
      <vt:lpstr>Domestic_2608(Sales)</vt:lpstr>
      <vt:lpstr>Domestic_2608 (27년 1월 증량 확정)</vt:lpstr>
      <vt:lpstr>Domestic_2607</vt:lpstr>
      <vt:lpstr>Domestic_2606</vt:lpstr>
      <vt:lpstr>내수 입고</vt:lpstr>
      <vt:lpstr>내수 재고</vt:lpstr>
      <vt:lpstr>Jikgu_2608</vt:lpstr>
      <vt:lpstr>Jikgu_2608(sales)</vt:lpstr>
      <vt:lpstr>Jikgu_2607</vt:lpstr>
      <vt:lpstr>Jikgu_2606</vt:lpstr>
      <vt:lpstr>시트29</vt:lpstr>
      <vt:lpstr>Domestic의 사본 발주예상용</vt:lpstr>
      <vt:lpstr>직구 입고</vt:lpstr>
      <vt:lpstr>직구 재고</vt:lpstr>
      <vt:lpstr>Medical_2608</vt:lpstr>
      <vt:lpstr>Medical_2607</vt:lpstr>
      <vt:lpstr>Jikgu의 사본 발주 예상용</vt:lpstr>
      <vt:lpstr>직구재고</vt:lpstr>
      <vt:lpstr>메디컬 입고</vt:lpstr>
      <vt:lpstr>메디컬 재고</vt:lpstr>
      <vt:lpstr>메디컬 SKU</vt:lpstr>
      <vt:lpstr>금액</vt:lpstr>
      <vt:lpstr>단가</vt:lpstr>
      <vt:lpstr>Workbook(Eibe)</vt:lpstr>
      <vt:lpstr>유통기한 재고소진(주간)</vt:lpstr>
      <vt:lpstr>폐기비용 예상</vt:lpstr>
      <vt:lpstr>중국 물류 변경</vt:lpstr>
      <vt:lpstr>창고 이관 일정</vt:lpstr>
      <vt:lpstr>인보이스 수정</vt:lpstr>
      <vt:lpstr>장마 대비 포장 패키징 비용</vt:lpstr>
      <vt:lpstr>창고 이전 비용</vt:lpstr>
      <vt:lpstr>전체 재고</vt:lpstr>
      <vt:lpstr>10월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2026-09-15T04:10:34Z</dcterms:created>
  <dcterms:modified xsi:type="dcterms:W3CDTF">2026-09-15T04:10:34Z</dcterms:modified>
</cp:coreProperties>
</file>